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Shared drives\COS Research Office Main\SOP's and Templates 2025\Pre-Award Tempates\Budget Templates\Master Budget Copy-Do Not Use\"/>
    </mc:Choice>
  </mc:AlternateContent>
  <xr:revisionPtr revIDLastSave="0" documentId="13_ncr:1_{87044F84-F8C2-4571-922E-4F99A7B63CE7}" xr6:coauthVersionLast="47" xr6:coauthVersionMax="47" xr10:uidLastSave="{00000000-0000-0000-0000-000000000000}"/>
  <bookViews>
    <workbookView xWindow="28680" yWindow="-150" windowWidth="29040" windowHeight="15720" firstSheet="1" activeTab="1" xr2:uid="{00000000-000D-0000-FFFF-FFFF00000000}"/>
  </bookViews>
  <sheets>
    <sheet name="WRS Budget and Segments" sheetId="2" state="hidden" r:id="rId1"/>
    <sheet name="COS Internal Budget" sheetId="3" r:id="rId2"/>
    <sheet name="Non-Payroll Budget Planner" sheetId="4" r:id="rId3"/>
    <sheet name="lists" sheetId="5" state="hidden" r:id="rId4"/>
    <sheet name="Finge and HI" sheetId="8" r:id="rId5"/>
    <sheet name="Tuition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h90p4MlLDOH+8L5Zxcp9mmyrrROg=="/>
    </ext>
  </extLst>
</workbook>
</file>

<file path=xl/calcChain.xml><?xml version="1.0" encoding="utf-8"?>
<calcChain xmlns="http://schemas.openxmlformats.org/spreadsheetml/2006/main">
  <c r="D64" i="9" l="1"/>
  <c r="D46" i="9"/>
  <c r="D28" i="9"/>
  <c r="D10" i="9"/>
  <c r="I14" i="3"/>
  <c r="X30" i="4" l="1"/>
  <c r="W30" i="4"/>
  <c r="V30" i="4"/>
  <c r="U30" i="4"/>
  <c r="Y30" i="4" s="1"/>
  <c r="Y24" i="4"/>
  <c r="X24" i="4"/>
  <c r="W24" i="4"/>
  <c r="V24" i="4"/>
  <c r="U24" i="4"/>
  <c r="X18" i="4"/>
  <c r="W18" i="4"/>
  <c r="V18" i="4"/>
  <c r="U18" i="4"/>
  <c r="Y18" i="4" s="1"/>
  <c r="X12" i="4"/>
  <c r="W12" i="4"/>
  <c r="V12" i="4"/>
  <c r="U12" i="4"/>
  <c r="Y12" i="4" s="1"/>
  <c r="V6" i="4"/>
  <c r="W6" i="4"/>
  <c r="X6" i="4"/>
  <c r="U6" i="4"/>
  <c r="D63" i="9"/>
  <c r="D45" i="9"/>
  <c r="D27" i="9"/>
  <c r="D9" i="9"/>
  <c r="B14" i="3"/>
  <c r="Y6" i="4" l="1"/>
  <c r="CK57" i="3"/>
  <c r="CB57" i="3"/>
  <c r="BS57" i="3"/>
  <c r="BJ57" i="3"/>
  <c r="BA57" i="3"/>
  <c r="AR57" i="3"/>
  <c r="AI57" i="3"/>
  <c r="Z57" i="3"/>
  <c r="AZ56" i="3"/>
  <c r="CJ56" i="3"/>
  <c r="CA56" i="3"/>
  <c r="BR56" i="3"/>
  <c r="BI56" i="3"/>
  <c r="AQ56" i="3"/>
  <c r="AH56" i="3"/>
  <c r="Y56" i="3"/>
  <c r="CL51" i="3" l="1"/>
  <c r="CL52" i="3"/>
  <c r="CU47" i="3"/>
  <c r="CU46" i="3"/>
  <c r="W46" i="3"/>
  <c r="AF46" i="3" s="1"/>
  <c r="AO46" i="3" s="1"/>
  <c r="AX46" i="3" s="1"/>
  <c r="BG46" i="3" s="1"/>
  <c r="BP46" i="3" s="1"/>
  <c r="BY46" i="3" s="1"/>
  <c r="CH46" i="3" s="1"/>
  <c r="CQ46" i="3" s="1"/>
  <c r="CQ30" i="3"/>
  <c r="CQ26" i="3"/>
  <c r="CQ22" i="3"/>
  <c r="CH30" i="3"/>
  <c r="CH26" i="3"/>
  <c r="CH22" i="3"/>
  <c r="BY30" i="3"/>
  <c r="BY26" i="3"/>
  <c r="BY22" i="3"/>
  <c r="BP30" i="3"/>
  <c r="BP26" i="3"/>
  <c r="BP22" i="3"/>
  <c r="BG30" i="3"/>
  <c r="BG26" i="3"/>
  <c r="BG22" i="3"/>
  <c r="AO22" i="3"/>
  <c r="AF22" i="3"/>
  <c r="W30" i="3"/>
  <c r="W26" i="3"/>
  <c r="W22" i="3"/>
  <c r="CL6" i="3" l="1"/>
  <c r="CN6" i="3" s="1"/>
  <c r="CL7" i="3"/>
  <c r="CN7" i="3" s="1"/>
  <c r="CL8" i="3"/>
  <c r="CN8" i="3" s="1"/>
  <c r="CL11" i="3"/>
  <c r="CN11" i="3" s="1"/>
  <c r="CL12" i="3"/>
  <c r="CN12" i="3" s="1"/>
  <c r="CL13" i="3"/>
  <c r="CN13" i="3" s="1"/>
  <c r="CL16" i="3"/>
  <c r="CN16" i="3" s="1"/>
  <c r="CL17" i="3"/>
  <c r="CN17" i="3" s="1"/>
  <c r="CL5" i="3"/>
  <c r="CN5" i="3" s="1"/>
  <c r="CC6" i="3"/>
  <c r="CE6" i="3" s="1"/>
  <c r="CC7" i="3"/>
  <c r="CE7" i="3" s="1"/>
  <c r="CC8" i="3"/>
  <c r="CE8" i="3" s="1"/>
  <c r="CC11" i="3"/>
  <c r="CE11" i="3" s="1"/>
  <c r="CC12" i="3"/>
  <c r="CE12" i="3" s="1"/>
  <c r="CC13" i="3"/>
  <c r="CE13" i="3" s="1"/>
  <c r="CC16" i="3"/>
  <c r="CE16" i="3" s="1"/>
  <c r="CC17" i="3"/>
  <c r="CE17" i="3" s="1"/>
  <c r="BT6" i="3"/>
  <c r="BV6" i="3" s="1"/>
  <c r="BT7" i="3"/>
  <c r="BV7" i="3" s="1"/>
  <c r="BT8" i="3"/>
  <c r="BV8" i="3" s="1"/>
  <c r="BT11" i="3"/>
  <c r="BV11" i="3" s="1"/>
  <c r="BT12" i="3"/>
  <c r="BV12" i="3" s="1"/>
  <c r="BT13" i="3"/>
  <c r="BV13" i="3" s="1"/>
  <c r="BT16" i="3"/>
  <c r="BV16" i="3" s="1"/>
  <c r="BT17" i="3"/>
  <c r="BV17" i="3" s="1"/>
  <c r="CC5" i="3"/>
  <c r="CE5" i="3" s="1"/>
  <c r="BT5" i="3"/>
  <c r="BV5" i="3" s="1"/>
  <c r="BK6" i="3"/>
  <c r="BM6" i="3" s="1"/>
  <c r="BK7" i="3"/>
  <c r="BM7" i="3" s="1"/>
  <c r="BK8" i="3"/>
  <c r="BM8" i="3" s="1"/>
  <c r="BK11" i="3"/>
  <c r="BM11" i="3" s="1"/>
  <c r="BK12" i="3"/>
  <c r="BM12" i="3" s="1"/>
  <c r="BK13" i="3"/>
  <c r="BM13" i="3" s="1"/>
  <c r="BK16" i="3"/>
  <c r="BM16" i="3" s="1"/>
  <c r="BK17" i="3"/>
  <c r="BM17" i="3" s="1"/>
  <c r="BK5" i="3"/>
  <c r="BM5" i="3" s="1"/>
  <c r="BB12" i="3"/>
  <c r="BD12" i="3" s="1"/>
  <c r="BB13" i="3"/>
  <c r="BD13" i="3" s="1"/>
  <c r="BB16" i="3"/>
  <c r="BD16" i="3" s="1"/>
  <c r="BB17" i="3"/>
  <c r="BD17" i="3" s="1"/>
  <c r="BB11" i="3"/>
  <c r="BD11" i="3" s="1"/>
  <c r="BB6" i="3"/>
  <c r="BD6" i="3" s="1"/>
  <c r="BB7" i="3"/>
  <c r="BD7" i="3" s="1"/>
  <c r="BB8" i="3"/>
  <c r="BD8" i="3" s="1"/>
  <c r="BB5" i="3"/>
  <c r="CJ12" i="3"/>
  <c r="CJ13" i="3"/>
  <c r="CJ14" i="3"/>
  <c r="CJ15" i="3"/>
  <c r="CJ16" i="3"/>
  <c r="CJ17" i="3"/>
  <c r="CJ6" i="3"/>
  <c r="CJ7" i="3"/>
  <c r="CJ8" i="3"/>
  <c r="CA12" i="3"/>
  <c r="CA13" i="3"/>
  <c r="CA14" i="3"/>
  <c r="CA15" i="3"/>
  <c r="CA16" i="3"/>
  <c r="CA17" i="3"/>
  <c r="CA6" i="3"/>
  <c r="CA7" i="3"/>
  <c r="CA8" i="3"/>
  <c r="BR12" i="3"/>
  <c r="BR13" i="3"/>
  <c r="BR14" i="3"/>
  <c r="BR15" i="3"/>
  <c r="BR16" i="3"/>
  <c r="BR17" i="3"/>
  <c r="BR6" i="3"/>
  <c r="BR7" i="3"/>
  <c r="BR8" i="3"/>
  <c r="BI12" i="3"/>
  <c r="BI13" i="3"/>
  <c r="BI14" i="3"/>
  <c r="BI15" i="3"/>
  <c r="BI16" i="3"/>
  <c r="BI17" i="3"/>
  <c r="BI6" i="3"/>
  <c r="BI7" i="3"/>
  <c r="BI8" i="3"/>
  <c r="AZ12" i="3"/>
  <c r="AZ13" i="3"/>
  <c r="AZ14" i="3"/>
  <c r="AZ15" i="3"/>
  <c r="AZ16" i="3"/>
  <c r="AZ17" i="3"/>
  <c r="AZ6" i="3"/>
  <c r="AZ7" i="3"/>
  <c r="AZ8" i="3"/>
  <c r="AQ12" i="3"/>
  <c r="AQ13" i="3"/>
  <c r="AQ14" i="3"/>
  <c r="AQ15" i="3"/>
  <c r="AQ16" i="3"/>
  <c r="AQ17" i="3"/>
  <c r="AQ6" i="3"/>
  <c r="AQ7" i="3"/>
  <c r="AQ8" i="3"/>
  <c r="AH12" i="3"/>
  <c r="AH13" i="3"/>
  <c r="AH14" i="3"/>
  <c r="AH15" i="3"/>
  <c r="AH16" i="3"/>
  <c r="AH17" i="3"/>
  <c r="AH6" i="3"/>
  <c r="AH7" i="3"/>
  <c r="AH8" i="3"/>
  <c r="Y12" i="3"/>
  <c r="Y13" i="3"/>
  <c r="Y14" i="3"/>
  <c r="Y15" i="3"/>
  <c r="Y16" i="3"/>
  <c r="Y17" i="3"/>
  <c r="Y6" i="3"/>
  <c r="Y7" i="3"/>
  <c r="Y8" i="3"/>
  <c r="P12" i="3"/>
  <c r="P13" i="3"/>
  <c r="P14" i="3"/>
  <c r="P15" i="3"/>
  <c r="P16" i="3"/>
  <c r="P17" i="3"/>
  <c r="P6" i="3"/>
  <c r="P7" i="3"/>
  <c r="P8" i="3"/>
  <c r="P5" i="3"/>
  <c r="P11" i="3"/>
  <c r="Y11" i="3"/>
  <c r="AH11" i="3"/>
  <c r="AQ11" i="3"/>
  <c r="AZ11" i="3"/>
  <c r="BI11" i="3"/>
  <c r="BR11" i="3"/>
  <c r="CJ11" i="3"/>
  <c r="CA11" i="3"/>
  <c r="CJ5" i="3"/>
  <c r="CA5" i="3"/>
  <c r="BR5" i="3"/>
  <c r="BI5" i="3"/>
  <c r="AZ5" i="3"/>
  <c r="AQ5" i="3"/>
  <c r="AH5" i="3"/>
  <c r="Y5" i="3"/>
  <c r="V2" i="3"/>
  <c r="A5" i="3"/>
  <c r="A6" i="3"/>
  <c r="A7" i="3"/>
  <c r="A8" i="3"/>
  <c r="A11" i="3"/>
  <c r="A12" i="3"/>
  <c r="A13" i="3"/>
  <c r="A16" i="3"/>
  <c r="A17" i="3"/>
  <c r="A19" i="3"/>
  <c r="A22" i="3" s="1"/>
  <c r="H4" i="5"/>
  <c r="M57" i="3"/>
  <c r="F7" i="5"/>
  <c r="F6" i="5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8" i="9"/>
  <c r="L16" i="3"/>
  <c r="L17" i="3"/>
  <c r="L8" i="3"/>
  <c r="L5" i="3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37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39" i="8"/>
  <c r="A121" i="8"/>
  <c r="A103" i="8"/>
  <c r="A85" i="8"/>
  <c r="A67" i="8"/>
  <c r="A49" i="8"/>
  <c r="A31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13" i="8"/>
  <c r="I5" i="3"/>
  <c r="K5" i="3" s="1"/>
  <c r="D62" i="9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44" i="9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26" i="9"/>
  <c r="V46" i="3" s="1"/>
  <c r="F5" i="9"/>
  <c r="D8" i="9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E87" i="8"/>
  <c r="E69" i="8"/>
  <c r="E51" i="8"/>
  <c r="E33" i="8"/>
  <c r="BO57" i="3" l="1"/>
  <c r="BF57" i="3"/>
  <c r="AW57" i="3"/>
  <c r="AN57" i="3"/>
  <c r="CG57" i="3"/>
  <c r="BX57" i="3"/>
  <c r="AE57" i="3"/>
  <c r="CP57" i="3"/>
  <c r="CN4" i="3"/>
  <c r="CL4" i="3"/>
  <c r="CE4" i="3"/>
  <c r="BK4" i="3"/>
  <c r="BT4" i="3"/>
  <c r="AE2" i="3"/>
  <c r="U16" i="3"/>
  <c r="U17" i="3"/>
  <c r="U5" i="3"/>
  <c r="U8" i="3"/>
  <c r="CC4" i="3"/>
  <c r="BB4" i="3"/>
  <c r="BD5" i="3"/>
  <c r="BM4" i="3"/>
  <c r="BV4" i="3"/>
  <c r="D29" i="9"/>
  <c r="D30" i="9" s="1"/>
  <c r="D31" i="9" s="1"/>
  <c r="D32" i="9" s="1"/>
  <c r="E52" i="8"/>
  <c r="U7" i="3"/>
  <c r="E70" i="8"/>
  <c r="U11" i="3"/>
  <c r="E34" i="8"/>
  <c r="U6" i="3"/>
  <c r="E88" i="8"/>
  <c r="U13" i="3" s="1"/>
  <c r="U12" i="3"/>
  <c r="E106" i="8"/>
  <c r="M46" i="3"/>
  <c r="L12" i="3"/>
  <c r="L7" i="3"/>
  <c r="L6" i="3"/>
  <c r="L11" i="3"/>
  <c r="L13" i="3"/>
  <c r="D33" i="9" l="1"/>
  <c r="BF46" i="3"/>
  <c r="BF47" i="3"/>
  <c r="AN2" i="3"/>
  <c r="AD8" i="3"/>
  <c r="AD16" i="3"/>
  <c r="AD17" i="3"/>
  <c r="AD5" i="3"/>
  <c r="BD4" i="3"/>
  <c r="E71" i="8"/>
  <c r="AD11" i="3"/>
  <c r="E107" i="8"/>
  <c r="E53" i="8"/>
  <c r="AD7" i="3"/>
  <c r="E89" i="8"/>
  <c r="AD13" i="3" s="1"/>
  <c r="AD12" i="3"/>
  <c r="E35" i="8"/>
  <c r="AD6" i="3"/>
  <c r="L4" i="3"/>
  <c r="D34" i="9" l="1"/>
  <c r="BO47" i="3"/>
  <c r="BO46" i="3"/>
  <c r="AW2" i="3"/>
  <c r="AM16" i="3"/>
  <c r="AM17" i="3"/>
  <c r="AM5" i="3"/>
  <c r="AM8" i="3"/>
  <c r="E36" i="8"/>
  <c r="AM6" i="3"/>
  <c r="E108" i="8"/>
  <c r="E90" i="8"/>
  <c r="AM12" i="3"/>
  <c r="E72" i="8"/>
  <c r="AM13" i="3"/>
  <c r="AM11" i="3"/>
  <c r="E54" i="8"/>
  <c r="AM7" i="3"/>
  <c r="E20" i="4"/>
  <c r="E21" i="4" s="1"/>
  <c r="E13" i="4"/>
  <c r="A13" i="4"/>
  <c r="E12" i="4"/>
  <c r="A12" i="4"/>
  <c r="E6" i="4"/>
  <c r="A6" i="4"/>
  <c r="E5" i="4"/>
  <c r="A5" i="4"/>
  <c r="L64" i="4"/>
  <c r="L63" i="4"/>
  <c r="H62" i="4"/>
  <c r="L62" i="4" s="1"/>
  <c r="L61" i="4"/>
  <c r="L60" i="4"/>
  <c r="L59" i="4"/>
  <c r="L53" i="4"/>
  <c r="L52" i="4"/>
  <c r="H51" i="4"/>
  <c r="L51" i="4" s="1"/>
  <c r="L50" i="4"/>
  <c r="L49" i="4"/>
  <c r="L48" i="4"/>
  <c r="D35" i="9" l="1"/>
  <c r="BX46" i="3"/>
  <c r="BX47" i="3"/>
  <c r="BF2" i="3"/>
  <c r="AV8" i="3"/>
  <c r="AV17" i="3"/>
  <c r="AV5" i="3"/>
  <c r="AV16" i="3"/>
  <c r="E91" i="8"/>
  <c r="AV13" i="3" s="1"/>
  <c r="AV12" i="3"/>
  <c r="E55" i="8"/>
  <c r="AV7" i="3"/>
  <c r="E109" i="8"/>
  <c r="AV14" i="3" s="1"/>
  <c r="E73" i="8"/>
  <c r="AV11" i="3"/>
  <c r="E37" i="8"/>
  <c r="AV6" i="3"/>
  <c r="L65" i="4"/>
  <c r="L54" i="4"/>
  <c r="AW47" i="3"/>
  <c r="AW46" i="3"/>
  <c r="AN47" i="3"/>
  <c r="AN46" i="3"/>
  <c r="AE46" i="3"/>
  <c r="AE47" i="3"/>
  <c r="B15" i="3"/>
  <c r="AV15" i="3" l="1"/>
  <c r="AV10" i="3" s="1"/>
  <c r="D36" i="9"/>
  <c r="CG47" i="3"/>
  <c r="CG46" i="3"/>
  <c r="U14" i="3"/>
  <c r="AD14" i="3"/>
  <c r="AM14" i="3"/>
  <c r="U15" i="3"/>
  <c r="AD15" i="3"/>
  <c r="AM15" i="3"/>
  <c r="BO2" i="3"/>
  <c r="BE16" i="3"/>
  <c r="BF16" i="3" s="1"/>
  <c r="BE17" i="3"/>
  <c r="BF17" i="3" s="1"/>
  <c r="BE5" i="3"/>
  <c r="BF5" i="3" s="1"/>
  <c r="BE8" i="3"/>
  <c r="BF8" i="3" s="1"/>
  <c r="E110" i="8"/>
  <c r="BE14" i="3" s="1"/>
  <c r="E56" i="8"/>
  <c r="BE7" i="3"/>
  <c r="BF7" i="3" s="1"/>
  <c r="E38" i="8"/>
  <c r="BE6" i="3"/>
  <c r="E74" i="8"/>
  <c r="BE11" i="3"/>
  <c r="E92" i="8"/>
  <c r="BE13" i="3" s="1"/>
  <c r="BF13" i="3" s="1"/>
  <c r="BE12" i="3"/>
  <c r="BF12" i="3" s="1"/>
  <c r="CC14" i="3"/>
  <c r="BT14" i="3"/>
  <c r="CL14" i="3"/>
  <c r="CL15" i="3"/>
  <c r="CN15" i="3" s="1"/>
  <c r="CC15" i="3"/>
  <c r="CE15" i="3" s="1"/>
  <c r="BT15" i="3"/>
  <c r="BV15" i="3" s="1"/>
  <c r="BK14" i="3"/>
  <c r="BB14" i="3"/>
  <c r="BB15" i="3"/>
  <c r="BD15" i="3" s="1"/>
  <c r="BK15" i="3"/>
  <c r="BM15" i="3" s="1"/>
  <c r="L14" i="3"/>
  <c r="A14" i="3"/>
  <c r="L15" i="3"/>
  <c r="A15" i="3"/>
  <c r="BE15" i="3" l="1"/>
  <c r="BF15" i="3" s="1"/>
  <c r="BG15" i="3" s="1"/>
  <c r="D37" i="9"/>
  <c r="D38" i="9" s="1"/>
  <c r="D39" i="9" s="1"/>
  <c r="D40" i="9" s="1"/>
  <c r="D41" i="9" s="1"/>
  <c r="D42" i="9" s="1"/>
  <c r="CP47" i="3"/>
  <c r="CP46" i="3"/>
  <c r="AD10" i="3"/>
  <c r="BB10" i="3"/>
  <c r="BB19" i="3" s="1"/>
  <c r="BD14" i="3"/>
  <c r="BD10" i="3" s="1"/>
  <c r="BG16" i="3"/>
  <c r="BC16" i="3"/>
  <c r="BM14" i="3"/>
  <c r="BM10" i="3" s="1"/>
  <c r="BK10" i="3"/>
  <c r="BK19" i="3" s="1"/>
  <c r="BX2" i="3"/>
  <c r="BN8" i="3"/>
  <c r="BO8" i="3" s="1"/>
  <c r="BN16" i="3"/>
  <c r="BO16" i="3" s="1"/>
  <c r="BN17" i="3"/>
  <c r="BO17" i="3" s="1"/>
  <c r="BN5" i="3"/>
  <c r="BO5" i="3" s="1"/>
  <c r="CN14" i="3"/>
  <c r="CN10" i="3" s="1"/>
  <c r="CL10" i="3"/>
  <c r="CL19" i="3" s="1"/>
  <c r="BG8" i="3"/>
  <c r="BC8" i="3"/>
  <c r="AM10" i="3"/>
  <c r="BV14" i="3"/>
  <c r="BV10" i="3" s="1"/>
  <c r="BT10" i="3"/>
  <c r="BT19" i="3" s="1"/>
  <c r="BC5" i="3"/>
  <c r="BG5" i="3"/>
  <c r="CE14" i="3"/>
  <c r="CE10" i="3" s="1"/>
  <c r="CC10" i="3"/>
  <c r="CC19" i="3" s="1"/>
  <c r="BG17" i="3"/>
  <c r="BC17" i="3"/>
  <c r="U10" i="3"/>
  <c r="BE4" i="3"/>
  <c r="BF6" i="3"/>
  <c r="E39" i="8"/>
  <c r="BN6" i="3"/>
  <c r="BG12" i="3"/>
  <c r="BC12" i="3"/>
  <c r="BG7" i="3"/>
  <c r="BC7" i="3"/>
  <c r="E93" i="8"/>
  <c r="BN13" i="3" s="1"/>
  <c r="BO13" i="3" s="1"/>
  <c r="BN12" i="3"/>
  <c r="BO12" i="3" s="1"/>
  <c r="E57" i="8"/>
  <c r="BN7" i="3"/>
  <c r="BO7" i="3" s="1"/>
  <c r="BF11" i="3"/>
  <c r="BG13" i="3"/>
  <c r="BC13" i="3"/>
  <c r="E75" i="8"/>
  <c r="BN11" i="3"/>
  <c r="E111" i="8"/>
  <c r="BN14" i="3" s="1"/>
  <c r="H40" i="4"/>
  <c r="L40" i="4" s="1"/>
  <c r="H29" i="4"/>
  <c r="H18" i="4"/>
  <c r="H7" i="4"/>
  <c r="AS16" i="3"/>
  <c r="AU16" i="3" s="1"/>
  <c r="AJ16" i="3"/>
  <c r="AL16" i="3" s="1"/>
  <c r="AA16" i="3"/>
  <c r="AC16" i="3" s="1"/>
  <c r="CU16" i="3"/>
  <c r="R16" i="3"/>
  <c r="I16" i="3"/>
  <c r="K16" i="3" s="1"/>
  <c r="AL56" i="4"/>
  <c r="AL55" i="4"/>
  <c r="AL54" i="4"/>
  <c r="AL53" i="4"/>
  <c r="AB40" i="4"/>
  <c r="AL36" i="4"/>
  <c r="AL35" i="4"/>
  <c r="AL34" i="4"/>
  <c r="AL33" i="4"/>
  <c r="AB21" i="4"/>
  <c r="AL18" i="4"/>
  <c r="AL17" i="4"/>
  <c r="AL16" i="4"/>
  <c r="AL15" i="4"/>
  <c r="AL14" i="4"/>
  <c r="AL13" i="4"/>
  <c r="AH21" i="4"/>
  <c r="BL50" i="3" s="1"/>
  <c r="BK50" i="3" s="1"/>
  <c r="AG21" i="4"/>
  <c r="BC50" i="3" s="1"/>
  <c r="BB50" i="3" s="1"/>
  <c r="Q73" i="4"/>
  <c r="L42" i="4"/>
  <c r="L41" i="4"/>
  <c r="L39" i="4"/>
  <c r="L38" i="4"/>
  <c r="L37" i="4"/>
  <c r="BN15" i="3" l="1"/>
  <c r="BO15" i="3" s="1"/>
  <c r="BE10" i="3"/>
  <c r="T16" i="3"/>
  <c r="BC15" i="3"/>
  <c r="BO14" i="3"/>
  <c r="BP14" i="3" s="1"/>
  <c r="BP5" i="3"/>
  <c r="BL5" i="3"/>
  <c r="BP8" i="3"/>
  <c r="BL8" i="3"/>
  <c r="CG2" i="3"/>
  <c r="BW16" i="3"/>
  <c r="BX16" i="3" s="1"/>
  <c r="BW17" i="3"/>
  <c r="BX17" i="3" s="1"/>
  <c r="BW5" i="3"/>
  <c r="BX5" i="3" s="1"/>
  <c r="BW8" i="3"/>
  <c r="BX8" i="3" s="1"/>
  <c r="BF14" i="3"/>
  <c r="BF10" i="3" s="1"/>
  <c r="BP17" i="3"/>
  <c r="BL17" i="3"/>
  <c r="BP16" i="3"/>
  <c r="BL16" i="3"/>
  <c r="BP13" i="3"/>
  <c r="BL13" i="3"/>
  <c r="BN10" i="3"/>
  <c r="BO11" i="3"/>
  <c r="BG11" i="3"/>
  <c r="BC11" i="3"/>
  <c r="E76" i="8"/>
  <c r="BW11" i="3"/>
  <c r="BP7" i="3"/>
  <c r="BL7" i="3"/>
  <c r="BN4" i="3"/>
  <c r="BO6" i="3"/>
  <c r="E58" i="8"/>
  <c r="BW7" i="3"/>
  <c r="BX7" i="3" s="1"/>
  <c r="E40" i="8"/>
  <c r="BW6" i="3"/>
  <c r="E112" i="8"/>
  <c r="BW15" i="3" s="1"/>
  <c r="BX15" i="3" s="1"/>
  <c r="BW14" i="3"/>
  <c r="BX14" i="3" s="1"/>
  <c r="BP15" i="3"/>
  <c r="BL15" i="3"/>
  <c r="BP12" i="3"/>
  <c r="BL12" i="3"/>
  <c r="BG6" i="3"/>
  <c r="BG4" i="3" s="1"/>
  <c r="BC6" i="3"/>
  <c r="BF4" i="3"/>
  <c r="E94" i="8"/>
  <c r="BW13" i="3" s="1"/>
  <c r="BX13" i="3" s="1"/>
  <c r="BW12" i="3"/>
  <c r="BX12" i="3" s="1"/>
  <c r="L43" i="4"/>
  <c r="D31" i="2"/>
  <c r="E31" i="2"/>
  <c r="F31" i="2"/>
  <c r="G31" i="2"/>
  <c r="H31" i="2"/>
  <c r="I31" i="2"/>
  <c r="J31" i="2"/>
  <c r="K31" i="2"/>
  <c r="L31" i="2"/>
  <c r="D32" i="2"/>
  <c r="E32" i="2"/>
  <c r="F32" i="2"/>
  <c r="G32" i="2"/>
  <c r="H32" i="2"/>
  <c r="I32" i="2"/>
  <c r="J32" i="2"/>
  <c r="K32" i="2"/>
  <c r="L32" i="2"/>
  <c r="D33" i="2"/>
  <c r="E33" i="2"/>
  <c r="F33" i="2"/>
  <c r="G33" i="2"/>
  <c r="H33" i="2"/>
  <c r="I33" i="2"/>
  <c r="J33" i="2"/>
  <c r="K33" i="2"/>
  <c r="L33" i="2"/>
  <c r="BL14" i="3" l="1"/>
  <c r="BY5" i="3"/>
  <c r="BU5" i="3"/>
  <c r="BY16" i="3"/>
  <c r="BU16" i="3"/>
  <c r="CP2" i="3"/>
  <c r="CF8" i="3"/>
  <c r="CG8" i="3" s="1"/>
  <c r="CF17" i="3"/>
  <c r="CG17" i="3" s="1"/>
  <c r="CF5" i="3"/>
  <c r="CG5" i="3" s="1"/>
  <c r="CF16" i="3"/>
  <c r="CG16" i="3" s="1"/>
  <c r="BY17" i="3"/>
  <c r="BU17" i="3"/>
  <c r="BG14" i="3"/>
  <c r="BG10" i="3" s="1"/>
  <c r="BG19" i="3" s="1"/>
  <c r="BC14" i="3"/>
  <c r="BF19" i="3"/>
  <c r="BY8" i="3"/>
  <c r="BU8" i="3"/>
  <c r="E77" i="8"/>
  <c r="CF11" i="3"/>
  <c r="BP6" i="3"/>
  <c r="BP4" i="3" s="1"/>
  <c r="BL6" i="3"/>
  <c r="BO4" i="3"/>
  <c r="BY15" i="3"/>
  <c r="BU15" i="3"/>
  <c r="BY14" i="3"/>
  <c r="BU14" i="3"/>
  <c r="BP11" i="3"/>
  <c r="BP10" i="3" s="1"/>
  <c r="BO10" i="3"/>
  <c r="BL11" i="3"/>
  <c r="BY12" i="3"/>
  <c r="BU12" i="3"/>
  <c r="E95" i="8"/>
  <c r="CF13" i="3" s="1"/>
  <c r="CG13" i="3" s="1"/>
  <c r="CF12" i="3"/>
  <c r="CG12" i="3" s="1"/>
  <c r="E113" i="8"/>
  <c r="CF14" i="3" s="1"/>
  <c r="CG14" i="3" s="1"/>
  <c r="BW4" i="3"/>
  <c r="BX6" i="3"/>
  <c r="BW10" i="3"/>
  <c r="BX11" i="3"/>
  <c r="BY7" i="3"/>
  <c r="BU7" i="3"/>
  <c r="E59" i="8"/>
  <c r="CF7" i="3"/>
  <c r="CG7" i="3" s="1"/>
  <c r="E41" i="8"/>
  <c r="CF6" i="3"/>
  <c r="BY13" i="3"/>
  <c r="BU13" i="3"/>
  <c r="L34" i="2"/>
  <c r="D34" i="2"/>
  <c r="F34" i="2"/>
  <c r="K34" i="2"/>
  <c r="J34" i="2"/>
  <c r="I34" i="2"/>
  <c r="H34" i="2"/>
  <c r="E34" i="2"/>
  <c r="G34" i="2"/>
  <c r="CF15" i="3" l="1"/>
  <c r="CG15" i="3" s="1"/>
  <c r="CH15" i="3" s="1"/>
  <c r="BP19" i="3"/>
  <c r="CH17" i="3"/>
  <c r="CD17" i="3"/>
  <c r="CH8" i="3"/>
  <c r="CD8" i="3"/>
  <c r="CO16" i="3"/>
  <c r="CP16" i="3" s="1"/>
  <c r="CO17" i="3"/>
  <c r="CP17" i="3" s="1"/>
  <c r="CO5" i="3"/>
  <c r="CP5" i="3" s="1"/>
  <c r="CO8" i="3"/>
  <c r="CP8" i="3" s="1"/>
  <c r="CH16" i="3"/>
  <c r="CD16" i="3"/>
  <c r="CH5" i="3"/>
  <c r="CD5" i="3"/>
  <c r="BY11" i="3"/>
  <c r="BY10" i="3" s="1"/>
  <c r="BX10" i="3"/>
  <c r="BU11" i="3"/>
  <c r="CF4" i="3"/>
  <c r="CG6" i="3"/>
  <c r="BY6" i="3"/>
  <c r="BY4" i="3" s="1"/>
  <c r="BU6" i="3"/>
  <c r="BX4" i="3"/>
  <c r="BO19" i="3"/>
  <c r="E42" i="8"/>
  <c r="E43" i="8" s="1"/>
  <c r="E44" i="8" s="1"/>
  <c r="E45" i="8" s="1"/>
  <c r="E46" i="8" s="1"/>
  <c r="E47" i="8" s="1"/>
  <c r="CO6" i="3"/>
  <c r="CH7" i="3"/>
  <c r="CD7" i="3"/>
  <c r="CD15" i="3"/>
  <c r="E60" i="8"/>
  <c r="E61" i="8" s="1"/>
  <c r="E62" i="8" s="1"/>
  <c r="E63" i="8" s="1"/>
  <c r="E64" i="8" s="1"/>
  <c r="E65" i="8" s="1"/>
  <c r="CO7" i="3"/>
  <c r="CP7" i="3" s="1"/>
  <c r="CH14" i="3"/>
  <c r="CD14" i="3"/>
  <c r="CH13" i="3"/>
  <c r="CD13" i="3"/>
  <c r="E96" i="8"/>
  <c r="E97" i="8" s="1"/>
  <c r="E98" i="8" s="1"/>
  <c r="E99" i="8" s="1"/>
  <c r="E100" i="8" s="1"/>
  <c r="E101" i="8" s="1"/>
  <c r="CO12" i="3"/>
  <c r="CP12" i="3" s="1"/>
  <c r="E114" i="8"/>
  <c r="E115" i="8" s="1"/>
  <c r="E116" i="8" s="1"/>
  <c r="E117" i="8" s="1"/>
  <c r="E118" i="8" s="1"/>
  <c r="E119" i="8" s="1"/>
  <c r="CO14" i="3"/>
  <c r="CP14" i="3" s="1"/>
  <c r="CO15" i="3"/>
  <c r="CP15" i="3" s="1"/>
  <c r="CG11" i="3"/>
  <c r="CH12" i="3"/>
  <c r="CD12" i="3"/>
  <c r="E78" i="8"/>
  <c r="E79" i="8" s="1"/>
  <c r="E80" i="8" s="1"/>
  <c r="E81" i="8" s="1"/>
  <c r="E82" i="8" s="1"/>
  <c r="E83" i="8" s="1"/>
  <c r="CO13" i="3"/>
  <c r="CP13" i="3" s="1"/>
  <c r="CO11" i="3"/>
  <c r="CF10" i="3" l="1"/>
  <c r="CQ8" i="3"/>
  <c r="CM8" i="3"/>
  <c r="CQ5" i="3"/>
  <c r="CM5" i="3"/>
  <c r="CQ16" i="3"/>
  <c r="CM16" i="3"/>
  <c r="CQ17" i="3"/>
  <c r="CM17" i="3"/>
  <c r="BX19" i="3"/>
  <c r="BY19" i="3"/>
  <c r="CQ12" i="3"/>
  <c r="CM12" i="3"/>
  <c r="CH6" i="3"/>
  <c r="CH4" i="3" s="1"/>
  <c r="CG4" i="3"/>
  <c r="CD6" i="3"/>
  <c r="CG10" i="3"/>
  <c r="CH11" i="3"/>
  <c r="CH10" i="3" s="1"/>
  <c r="CD11" i="3"/>
  <c r="CQ13" i="3"/>
  <c r="CM13" i="3"/>
  <c r="CP6" i="3"/>
  <c r="CO4" i="3"/>
  <c r="CQ15" i="3"/>
  <c r="CM15" i="3"/>
  <c r="CO10" i="3"/>
  <c r="CP11" i="3"/>
  <c r="CQ14" i="3"/>
  <c r="CM14" i="3"/>
  <c r="CQ7" i="3"/>
  <c r="CM7" i="3"/>
  <c r="CP10" i="3" l="1"/>
  <c r="CQ11" i="3"/>
  <c r="CQ10" i="3" s="1"/>
  <c r="CM11" i="3"/>
  <c r="CG19" i="3"/>
  <c r="CH19" i="3"/>
  <c r="CQ6" i="3"/>
  <c r="CQ4" i="3" s="1"/>
  <c r="CM6" i="3"/>
  <c r="CP4" i="3"/>
  <c r="N22" i="3"/>
  <c r="CS39" i="3"/>
  <c r="CS40" i="3"/>
  <c r="CS41" i="3"/>
  <c r="CS42" i="3"/>
  <c r="CS43" i="3"/>
  <c r="CS44" i="3"/>
  <c r="CS24" i="3"/>
  <c r="CS23" i="3"/>
  <c r="CU11" i="3"/>
  <c r="CU12" i="3"/>
  <c r="CU13" i="3"/>
  <c r="CP19" i="3" l="1"/>
  <c r="CQ19" i="3"/>
  <c r="M47" i="3"/>
  <c r="W47" i="3"/>
  <c r="V47" i="3" l="1"/>
  <c r="AF47" i="3"/>
  <c r="AO47" i="3" s="1"/>
  <c r="AX47" i="3" s="1"/>
  <c r="BG47" i="3" s="1"/>
  <c r="BP47" i="3" s="1"/>
  <c r="BY47" i="3" s="1"/>
  <c r="CH47" i="3" s="1"/>
  <c r="CQ47" i="3" s="1"/>
  <c r="K23" i="2"/>
  <c r="K19" i="2"/>
  <c r="K18" i="2"/>
  <c r="K17" i="2"/>
  <c r="K16" i="2"/>
  <c r="K15" i="2"/>
  <c r="K14" i="2"/>
  <c r="J23" i="2"/>
  <c r="J19" i="2"/>
  <c r="J18" i="2"/>
  <c r="J17" i="2"/>
  <c r="J16" i="2"/>
  <c r="J15" i="2"/>
  <c r="J14" i="2"/>
  <c r="I23" i="2"/>
  <c r="I19" i="2"/>
  <c r="I18" i="2"/>
  <c r="I17" i="2"/>
  <c r="I16" i="2"/>
  <c r="I15" i="2"/>
  <c r="I14" i="2"/>
  <c r="H23" i="2"/>
  <c r="H19" i="2"/>
  <c r="H18" i="2"/>
  <c r="H17" i="2"/>
  <c r="H16" i="2"/>
  <c r="H15" i="2"/>
  <c r="H14" i="2"/>
  <c r="G23" i="2"/>
  <c r="G19" i="2"/>
  <c r="G14" i="2"/>
  <c r="F23" i="2"/>
  <c r="F19" i="2"/>
  <c r="F14" i="2"/>
  <c r="F20" i="2"/>
  <c r="L5" i="2"/>
  <c r="L7" i="2"/>
  <c r="L8" i="2"/>
  <c r="L10" i="2"/>
  <c r="K5" i="2"/>
  <c r="K7" i="2"/>
  <c r="K8" i="2"/>
  <c r="K10" i="2"/>
  <c r="J5" i="2"/>
  <c r="J7" i="2"/>
  <c r="J8" i="2"/>
  <c r="J10" i="2"/>
  <c r="I5" i="2"/>
  <c r="I7" i="2"/>
  <c r="I8" i="2"/>
  <c r="I10" i="2"/>
  <c r="H5" i="2"/>
  <c r="H7" i="2"/>
  <c r="H8" i="2"/>
  <c r="H10" i="2"/>
  <c r="G10" i="2"/>
  <c r="D10" i="2"/>
  <c r="L3" i="2"/>
  <c r="K3" i="2"/>
  <c r="J3" i="2"/>
  <c r="I3" i="2"/>
  <c r="H3" i="2"/>
  <c r="G3" i="2"/>
  <c r="F3" i="2"/>
  <c r="CU14" i="3" l="1"/>
  <c r="F30" i="2" l="1"/>
  <c r="G30" i="2"/>
  <c r="H30" i="2"/>
  <c r="I30" i="2"/>
  <c r="F10" i="2"/>
  <c r="K30" i="2"/>
  <c r="AB59" i="4"/>
  <c r="AI59" i="4"/>
  <c r="BU52" i="3" s="1"/>
  <c r="BT52" i="3" s="1"/>
  <c r="AI40" i="4"/>
  <c r="BU51" i="3" s="1"/>
  <c r="BT51" i="3" s="1"/>
  <c r="AG59" i="4"/>
  <c r="BC52" i="3" s="1"/>
  <c r="BB52" i="3" s="1"/>
  <c r="AF59" i="4"/>
  <c r="AE59" i="4"/>
  <c r="AK52" i="3" s="1"/>
  <c r="AG40" i="4"/>
  <c r="BC51" i="3" s="1"/>
  <c r="BB51" i="3" s="1"/>
  <c r="AF40" i="4"/>
  <c r="AE40" i="4"/>
  <c r="AJ59" i="4"/>
  <c r="CD52" i="3" s="1"/>
  <c r="CC52" i="3" s="1"/>
  <c r="AJ40" i="4"/>
  <c r="CD51" i="3" s="1"/>
  <c r="CC51" i="3" s="1"/>
  <c r="AX30" i="3"/>
  <c r="AX22" i="3"/>
  <c r="G20" i="2" s="1"/>
  <c r="H20" i="2"/>
  <c r="I20" i="2"/>
  <c r="J20" i="2"/>
  <c r="K20" i="2"/>
  <c r="BF49" i="3" l="1"/>
  <c r="BG36" i="3" s="1"/>
  <c r="BG54" i="3" s="1"/>
  <c r="BG55" i="3" s="1"/>
  <c r="BG64" i="3" s="1"/>
  <c r="AS13" i="3"/>
  <c r="AU13" i="3" s="1"/>
  <c r="AS12" i="3"/>
  <c r="AU12" i="3" s="1"/>
  <c r="AS11" i="3"/>
  <c r="AU11" i="3" s="1"/>
  <c r="AS6" i="3"/>
  <c r="AU6" i="3" s="1"/>
  <c r="AS7" i="3"/>
  <c r="AU7" i="3" s="1"/>
  <c r="AS8" i="3"/>
  <c r="AU8" i="3" s="1"/>
  <c r="AT52" i="3"/>
  <c r="AB41" i="4"/>
  <c r="AJ41" i="4"/>
  <c r="AJ42" i="4" s="1"/>
  <c r="AJ43" i="4" s="1"/>
  <c r="AI41" i="4"/>
  <c r="AI42" i="4" s="1"/>
  <c r="AI43" i="4" s="1"/>
  <c r="AK51" i="3"/>
  <c r="AE60" i="4"/>
  <c r="AE61" i="4" s="1"/>
  <c r="AE62" i="4" s="1"/>
  <c r="AB60" i="4"/>
  <c r="AB61" i="4" s="1"/>
  <c r="AT51" i="3"/>
  <c r="AG60" i="4"/>
  <c r="AG61" i="4" s="1"/>
  <c r="AG62" i="4" s="1"/>
  <c r="AS5" i="3"/>
  <c r="AU5" i="3" s="1"/>
  <c r="H9" i="2"/>
  <c r="I9" i="2"/>
  <c r="J9" i="2"/>
  <c r="K9" i="2"/>
  <c r="AE21" i="4"/>
  <c r="AI60" i="4"/>
  <c r="AI61" i="4" s="1"/>
  <c r="AF60" i="4"/>
  <c r="AF61" i="4" s="1"/>
  <c r="AE41" i="4"/>
  <c r="AE42" i="4" s="1"/>
  <c r="AF41" i="4"/>
  <c r="AF42" i="4" s="1"/>
  <c r="AG41" i="4"/>
  <c r="AG42" i="4" s="1"/>
  <c r="AJ60" i="4"/>
  <c r="AJ61" i="4" s="1"/>
  <c r="G9" i="2" l="1"/>
  <c r="G8" i="2"/>
  <c r="G7" i="2"/>
  <c r="G5" i="2"/>
  <c r="AB42" i="4"/>
  <c r="AE43" i="4"/>
  <c r="AF43" i="4"/>
  <c r="AS51" i="3"/>
  <c r="AS52" i="3"/>
  <c r="AJ62" i="4"/>
  <c r="AF62" i="4"/>
  <c r="AI62" i="4"/>
  <c r="AG43" i="4"/>
  <c r="AE22" i="4"/>
  <c r="AE23" i="4" s="1"/>
  <c r="AE24" i="4" s="1"/>
  <c r="AB62" i="4"/>
  <c r="K6" i="2"/>
  <c r="G6" i="2"/>
  <c r="J6" i="2"/>
  <c r="AS4" i="3"/>
  <c r="I6" i="2"/>
  <c r="H6" i="2"/>
  <c r="AK50" i="3"/>
  <c r="AF21" i="4"/>
  <c r="Q26" i="4"/>
  <c r="R24" i="4"/>
  <c r="R23" i="4"/>
  <c r="Q18" i="4"/>
  <c r="Q10" i="4"/>
  <c r="R16" i="4"/>
  <c r="R15" i="4"/>
  <c r="R7" i="4"/>
  <c r="R8" i="4"/>
  <c r="CU6" i="3"/>
  <c r="I6" i="3"/>
  <c r="K6" i="3" l="1"/>
  <c r="AJ6" i="3"/>
  <c r="AL6" i="3" s="1"/>
  <c r="AA6" i="3"/>
  <c r="AC6" i="3" s="1"/>
  <c r="AF22" i="4"/>
  <c r="AF23" i="4" s="1"/>
  <c r="AT50" i="3"/>
  <c r="R6" i="3"/>
  <c r="I13" i="3"/>
  <c r="K13" i="3" s="1"/>
  <c r="P56" i="3"/>
  <c r="R64" i="4"/>
  <c r="R63" i="4"/>
  <c r="R62" i="4"/>
  <c r="R61" i="4"/>
  <c r="R60" i="4"/>
  <c r="R54" i="4"/>
  <c r="R53" i="4"/>
  <c r="R52" i="4"/>
  <c r="AK59" i="4"/>
  <c r="AH59" i="4"/>
  <c r="BL52" i="3" s="1"/>
  <c r="BK52" i="3" s="1"/>
  <c r="AD59" i="4"/>
  <c r="AC59" i="4"/>
  <c r="R51" i="4"/>
  <c r="AL58" i="4"/>
  <c r="R50" i="4"/>
  <c r="AL57" i="4"/>
  <c r="AL52" i="4"/>
  <c r="AL51" i="4"/>
  <c r="AL50" i="4"/>
  <c r="AL49" i="4"/>
  <c r="R34" i="4"/>
  <c r="R33" i="4"/>
  <c r="L31" i="4"/>
  <c r="R32" i="4"/>
  <c r="L30" i="4"/>
  <c r="L28" i="4"/>
  <c r="L27" i="4"/>
  <c r="L26" i="4"/>
  <c r="R44" i="4"/>
  <c r="AK40" i="4"/>
  <c r="AH40" i="4"/>
  <c r="BL51" i="3" s="1"/>
  <c r="BK51" i="3" s="1"/>
  <c r="AD40" i="4"/>
  <c r="AB51" i="3" s="1"/>
  <c r="AC40" i="4"/>
  <c r="Q74" i="4"/>
  <c r="R43" i="4"/>
  <c r="AL39" i="4"/>
  <c r="Q72" i="4"/>
  <c r="R42" i="4"/>
  <c r="AL38" i="4"/>
  <c r="Q71" i="4"/>
  <c r="R41" i="4"/>
  <c r="AL37" i="4"/>
  <c r="Q70" i="4"/>
  <c r="R40" i="4"/>
  <c r="AL32" i="4"/>
  <c r="L20" i="4"/>
  <c r="AL31" i="4"/>
  <c r="L19" i="4"/>
  <c r="AL30" i="4"/>
  <c r="L18" i="4"/>
  <c r="L17" i="4"/>
  <c r="L16" i="4"/>
  <c r="R25" i="4"/>
  <c r="L15" i="4"/>
  <c r="R22" i="4"/>
  <c r="R21" i="4"/>
  <c r="R17" i="4"/>
  <c r="R14" i="4"/>
  <c r="AD21" i="4"/>
  <c r="AC21" i="4"/>
  <c r="R13" i="4"/>
  <c r="L9" i="4"/>
  <c r="AL20" i="4"/>
  <c r="L8" i="4"/>
  <c r="AL19" i="4"/>
  <c r="R9" i="4"/>
  <c r="L7" i="4"/>
  <c r="R6" i="4"/>
  <c r="L6" i="4"/>
  <c r="R5" i="4"/>
  <c r="L5" i="4"/>
  <c r="AL12" i="4"/>
  <c r="L4" i="4"/>
  <c r="CU58" i="3"/>
  <c r="CU57" i="3"/>
  <c r="Q57" i="3"/>
  <c r="O24" i="2"/>
  <c r="CU56" i="3"/>
  <c r="CU55" i="3"/>
  <c r="CU54" i="3"/>
  <c r="G52" i="3"/>
  <c r="G51" i="3"/>
  <c r="G50" i="3"/>
  <c r="CU49" i="3"/>
  <c r="CU44" i="3"/>
  <c r="CU43" i="3"/>
  <c r="CU42" i="3"/>
  <c r="CU41" i="3"/>
  <c r="CU40" i="3"/>
  <c r="CU39" i="3"/>
  <c r="CU38" i="3"/>
  <c r="CU37" i="3"/>
  <c r="CU36" i="3"/>
  <c r="CU34" i="3"/>
  <c r="CU33" i="3"/>
  <c r="CU32" i="3"/>
  <c r="CU31" i="3"/>
  <c r="CU30" i="3"/>
  <c r="AO30" i="3"/>
  <c r="AF30" i="3"/>
  <c r="CU28" i="3"/>
  <c r="CU27" i="3"/>
  <c r="CU26" i="3"/>
  <c r="CU24" i="3"/>
  <c r="CU23" i="3"/>
  <c r="CU22" i="3"/>
  <c r="L20" i="2"/>
  <c r="E20" i="2"/>
  <c r="D20" i="2"/>
  <c r="CU19" i="3"/>
  <c r="CU17" i="3"/>
  <c r="CU15" i="3"/>
  <c r="I12" i="3"/>
  <c r="K12" i="3" s="1"/>
  <c r="I11" i="3"/>
  <c r="K11" i="3" s="1"/>
  <c r="CU10" i="3"/>
  <c r="CU8" i="3"/>
  <c r="I8" i="3"/>
  <c r="K8" i="3" s="1"/>
  <c r="CU7" i="3"/>
  <c r="I7" i="3"/>
  <c r="K7" i="3" s="1"/>
  <c r="CU5" i="3"/>
  <c r="CU4" i="3"/>
  <c r="T23" i="2"/>
  <c r="L23" i="2"/>
  <c r="E23" i="2"/>
  <c r="D23" i="2"/>
  <c r="C23" i="2"/>
  <c r="T22" i="2"/>
  <c r="T21" i="2"/>
  <c r="T20" i="2"/>
  <c r="T19" i="2"/>
  <c r="L19" i="2"/>
  <c r="E19" i="2"/>
  <c r="D19" i="2"/>
  <c r="C19" i="2"/>
  <c r="T18" i="2"/>
  <c r="L18" i="2"/>
  <c r="T17" i="2"/>
  <c r="L17" i="2"/>
  <c r="T16" i="2"/>
  <c r="L16" i="2"/>
  <c r="T15" i="2"/>
  <c r="L15" i="2"/>
  <c r="T14" i="2"/>
  <c r="L14" i="2"/>
  <c r="E14" i="2"/>
  <c r="D14" i="2"/>
  <c r="C14" i="2"/>
  <c r="T13" i="2"/>
  <c r="S12" i="2"/>
  <c r="R12" i="2"/>
  <c r="Q12" i="2"/>
  <c r="P12" i="2"/>
  <c r="O12" i="2"/>
  <c r="T11" i="2"/>
  <c r="T10" i="2"/>
  <c r="E10" i="2"/>
  <c r="C10" i="2"/>
  <c r="T9" i="2"/>
  <c r="T8" i="2"/>
  <c r="T7" i="2"/>
  <c r="T6" i="2"/>
  <c r="T5" i="2"/>
  <c r="T4" i="2"/>
  <c r="T3" i="2"/>
  <c r="L30" i="2"/>
  <c r="J30" i="2"/>
  <c r="E3" i="2"/>
  <c r="E30" i="2" s="1"/>
  <c r="D3" i="2"/>
  <c r="D30" i="2" s="1"/>
  <c r="C3" i="2"/>
  <c r="C30" i="2" s="1"/>
  <c r="BO49" i="3" l="1"/>
  <c r="BP36" i="3" s="1"/>
  <c r="BP54" i="3" s="1"/>
  <c r="BP55" i="3" s="1"/>
  <c r="BP64" i="3" s="1"/>
  <c r="T6" i="3"/>
  <c r="K4" i="3"/>
  <c r="C8" i="2"/>
  <c r="C7" i="2"/>
  <c r="I4" i="3"/>
  <c r="R13" i="3"/>
  <c r="AA13" i="3"/>
  <c r="AC13" i="3" s="1"/>
  <c r="AJ13" i="3"/>
  <c r="AL13" i="3" s="1"/>
  <c r="AA12" i="3"/>
  <c r="AC12" i="3" s="1"/>
  <c r="R12" i="3"/>
  <c r="AJ12" i="3"/>
  <c r="AL12" i="3" s="1"/>
  <c r="AA7" i="3"/>
  <c r="AC7" i="3" s="1"/>
  <c r="AJ7" i="3"/>
  <c r="AL7" i="3" s="1"/>
  <c r="R7" i="3"/>
  <c r="R8" i="3"/>
  <c r="AA8" i="3"/>
  <c r="AC8" i="3" s="1"/>
  <c r="AJ8" i="3"/>
  <c r="AL8" i="3" s="1"/>
  <c r="Q75" i="4"/>
  <c r="AB52" i="3"/>
  <c r="AS50" i="3"/>
  <c r="AW49" i="3" s="1"/>
  <c r="G22" i="2" s="1"/>
  <c r="C9" i="2"/>
  <c r="L9" i="2"/>
  <c r="L11" i="2"/>
  <c r="R5" i="3"/>
  <c r="AA5" i="3"/>
  <c r="AC5" i="3" s="1"/>
  <c r="AJ5" i="3"/>
  <c r="AL5" i="3" s="1"/>
  <c r="L6" i="2"/>
  <c r="AS17" i="3"/>
  <c r="AU17" i="3" s="1"/>
  <c r="C20" i="2"/>
  <c r="M20" i="2" s="1"/>
  <c r="CS22" i="3"/>
  <c r="M11" i="3"/>
  <c r="R11" i="3"/>
  <c r="AA11" i="3"/>
  <c r="AC11" i="3" s="1"/>
  <c r="AJ11" i="3"/>
  <c r="AL11" i="3" s="1"/>
  <c r="I17" i="3"/>
  <c r="K17" i="3" s="1"/>
  <c r="R26" i="4"/>
  <c r="AG22" i="4"/>
  <c r="AG23" i="4" s="1"/>
  <c r="AG24" i="4" s="1"/>
  <c r="AI21" i="4"/>
  <c r="BU50" i="3" s="1"/>
  <c r="BT50" i="3" s="1"/>
  <c r="BX49" i="3" s="1"/>
  <c r="BY36" i="3" s="1"/>
  <c r="BY54" i="3" s="1"/>
  <c r="BY55" i="3" s="1"/>
  <c r="BY64" i="3" s="1"/>
  <c r="AF24" i="4"/>
  <c r="AH22" i="4"/>
  <c r="AH23" i="4" s="1"/>
  <c r="CS33" i="3"/>
  <c r="CS34" i="3"/>
  <c r="AD60" i="4"/>
  <c r="AD61" i="4" s="1"/>
  <c r="AH41" i="4"/>
  <c r="AH42" i="4" s="1"/>
  <c r="R35" i="4"/>
  <c r="AK60" i="4"/>
  <c r="AK61" i="4" s="1"/>
  <c r="AH60" i="4"/>
  <c r="AH61" i="4" s="1"/>
  <c r="AK41" i="4"/>
  <c r="AK42" i="4" s="1"/>
  <c r="R18" i="4"/>
  <c r="AC41" i="4"/>
  <c r="CS31" i="3"/>
  <c r="AD41" i="4"/>
  <c r="AD42" i="4" s="1"/>
  <c r="CS32" i="3"/>
  <c r="AB50" i="3"/>
  <c r="C5" i="2"/>
  <c r="C6" i="2"/>
  <c r="P52" i="3"/>
  <c r="Y52" i="3" s="1"/>
  <c r="AH52" i="3" s="1"/>
  <c r="AQ52" i="3" s="1"/>
  <c r="AZ52" i="3" s="1"/>
  <c r="BI52" i="3" s="1"/>
  <c r="BR52" i="3" s="1"/>
  <c r="CA52" i="3" s="1"/>
  <c r="CJ52" i="3" s="1"/>
  <c r="V57" i="3"/>
  <c r="CU51" i="3"/>
  <c r="P50" i="3"/>
  <c r="Y50" i="3" s="1"/>
  <c r="AH50" i="3" s="1"/>
  <c r="AQ50" i="3" s="1"/>
  <c r="AZ50" i="3" s="1"/>
  <c r="BI50" i="3" s="1"/>
  <c r="BR50" i="3" s="1"/>
  <c r="CA50" i="3" s="1"/>
  <c r="CJ50" i="3" s="1"/>
  <c r="R45" i="4"/>
  <c r="R10" i="4"/>
  <c r="R65" i="4"/>
  <c r="R55" i="4"/>
  <c r="AL40" i="4"/>
  <c r="L29" i="4"/>
  <c r="L32" i="4" s="1"/>
  <c r="L10" i="4"/>
  <c r="M13" i="3"/>
  <c r="CU52" i="3"/>
  <c r="P51" i="3"/>
  <c r="Y51" i="3" s="1"/>
  <c r="AH51" i="3" s="1"/>
  <c r="AQ51" i="3" s="1"/>
  <c r="AZ51" i="3" s="1"/>
  <c r="BI51" i="3" s="1"/>
  <c r="BR51" i="3" s="1"/>
  <c r="CA51" i="3" s="1"/>
  <c r="CJ51" i="3" s="1"/>
  <c r="M14" i="2"/>
  <c r="M12" i="3"/>
  <c r="M19" i="2"/>
  <c r="Q3" i="2"/>
  <c r="R3" i="2"/>
  <c r="P24" i="2"/>
  <c r="P25" i="2" s="1"/>
  <c r="R24" i="2"/>
  <c r="R25" i="2" s="1"/>
  <c r="S24" i="2"/>
  <c r="S25" i="2" s="1"/>
  <c r="O25" i="2"/>
  <c r="M10" i="2"/>
  <c r="P3" i="2"/>
  <c r="O3" i="2"/>
  <c r="Q24" i="2"/>
  <c r="S3" i="2"/>
  <c r="T12" i="2"/>
  <c r="M23" i="2"/>
  <c r="L21" i="4"/>
  <c r="I15" i="3"/>
  <c r="K15" i="3" s="1"/>
  <c r="CU50" i="3"/>
  <c r="AC60" i="4"/>
  <c r="AC61" i="4" s="1"/>
  <c r="AB22" i="4"/>
  <c r="AC22" i="4"/>
  <c r="AC23" i="4" s="1"/>
  <c r="AD22" i="4"/>
  <c r="AD23" i="4" s="1"/>
  <c r="AL59" i="4"/>
  <c r="J13" i="3" l="1"/>
  <c r="J12" i="3"/>
  <c r="J11" i="3"/>
  <c r="T8" i="3"/>
  <c r="T7" i="3"/>
  <c r="T13" i="3"/>
  <c r="T12" i="3"/>
  <c r="T11" i="3"/>
  <c r="T5" i="3"/>
  <c r="F5" i="2"/>
  <c r="AW12" i="3"/>
  <c r="AW13" i="3"/>
  <c r="AW11" i="3"/>
  <c r="F8" i="2"/>
  <c r="E8" i="2"/>
  <c r="D8" i="2"/>
  <c r="E5" i="2"/>
  <c r="M6" i="3"/>
  <c r="D7" i="2"/>
  <c r="D5" i="2"/>
  <c r="F6" i="2"/>
  <c r="F7" i="2"/>
  <c r="E6" i="2"/>
  <c r="E7" i="2"/>
  <c r="R4" i="3"/>
  <c r="AJ4" i="3"/>
  <c r="C16" i="2"/>
  <c r="C18" i="2"/>
  <c r="C17" i="2"/>
  <c r="N26" i="3"/>
  <c r="D6" i="2"/>
  <c r="M16" i="3"/>
  <c r="AA4" i="3"/>
  <c r="AB23" i="4"/>
  <c r="AH62" i="4"/>
  <c r="H22" i="2"/>
  <c r="AC42" i="4"/>
  <c r="AK43" i="4"/>
  <c r="H11" i="2"/>
  <c r="J11" i="2"/>
  <c r="I11" i="2"/>
  <c r="K11" i="2"/>
  <c r="G11" i="2"/>
  <c r="N12" i="3"/>
  <c r="N11" i="3"/>
  <c r="N13" i="3"/>
  <c r="K14" i="3"/>
  <c r="D9" i="2"/>
  <c r="F9" i="2"/>
  <c r="E9" i="2"/>
  <c r="C33" i="2"/>
  <c r="M33" i="2" s="1"/>
  <c r="C11" i="2"/>
  <c r="AJ21" i="4"/>
  <c r="CD50" i="3" s="1"/>
  <c r="CC50" i="3" s="1"/>
  <c r="CG49" i="3" s="1"/>
  <c r="CH36" i="3" s="1"/>
  <c r="CH54" i="3" s="1"/>
  <c r="CH55" i="3" s="1"/>
  <c r="CH64" i="3" s="1"/>
  <c r="AK21" i="4"/>
  <c r="CM50" i="3" s="1"/>
  <c r="CL50" i="3" s="1"/>
  <c r="CP49" i="3" s="1"/>
  <c r="CQ36" i="3" s="1"/>
  <c r="CQ54" i="3" s="1"/>
  <c r="CQ55" i="3" s="1"/>
  <c r="CQ64" i="3" s="1"/>
  <c r="AI22" i="4"/>
  <c r="AI23" i="4" s="1"/>
  <c r="AJ17" i="3"/>
  <c r="AL17" i="3" s="1"/>
  <c r="AA17" i="3"/>
  <c r="AC17" i="3" s="1"/>
  <c r="R17" i="3"/>
  <c r="AJ50" i="3"/>
  <c r="AH24" i="4"/>
  <c r="AH43" i="4"/>
  <c r="AJ51" i="3"/>
  <c r="C31" i="2"/>
  <c r="M31" i="2" s="1"/>
  <c r="AJ52" i="3"/>
  <c r="N30" i="3"/>
  <c r="CS30" i="3" s="1"/>
  <c r="C32" i="2"/>
  <c r="M32" i="2" s="1"/>
  <c r="R28" i="4"/>
  <c r="AD43" i="4"/>
  <c r="AD62" i="4"/>
  <c r="AK62" i="4"/>
  <c r="AA50" i="3"/>
  <c r="R50" i="3"/>
  <c r="AA51" i="3"/>
  <c r="AA52" i="3"/>
  <c r="AJ15" i="3"/>
  <c r="AL15" i="3" s="1"/>
  <c r="R15" i="3"/>
  <c r="AA15" i="3"/>
  <c r="AC15" i="3" s="1"/>
  <c r="AS15" i="3"/>
  <c r="AU15" i="3" s="1"/>
  <c r="R52" i="3"/>
  <c r="AC62" i="4"/>
  <c r="T24" i="2"/>
  <c r="Q25" i="2"/>
  <c r="T25" i="2" s="1"/>
  <c r="AL60" i="4"/>
  <c r="AD24" i="4"/>
  <c r="AC24" i="4"/>
  <c r="AL41" i="4"/>
  <c r="J6" i="3" l="1"/>
  <c r="T17" i="3"/>
  <c r="V17" i="3" s="1"/>
  <c r="S17" i="3" s="1"/>
  <c r="T15" i="3"/>
  <c r="AX13" i="3"/>
  <c r="AT13" i="3"/>
  <c r="AX12" i="3"/>
  <c r="AT12" i="3"/>
  <c r="AX11" i="3"/>
  <c r="AT11" i="3"/>
  <c r="AN11" i="3"/>
  <c r="V12" i="3"/>
  <c r="AE11" i="3"/>
  <c r="V11" i="3"/>
  <c r="AN12" i="3"/>
  <c r="V13" i="3"/>
  <c r="AE13" i="3"/>
  <c r="AE12" i="3"/>
  <c r="AN13" i="3"/>
  <c r="AE16" i="3"/>
  <c r="V16" i="3"/>
  <c r="M8" i="2"/>
  <c r="M5" i="2"/>
  <c r="AU4" i="3"/>
  <c r="N6" i="3"/>
  <c r="V6" i="3"/>
  <c r="V8" i="3"/>
  <c r="V7" i="3"/>
  <c r="AE6" i="3"/>
  <c r="AC4" i="3"/>
  <c r="AL4" i="3"/>
  <c r="T4" i="3"/>
  <c r="M5" i="3"/>
  <c r="M7" i="2"/>
  <c r="M6" i="2"/>
  <c r="M17" i="3"/>
  <c r="AC43" i="4"/>
  <c r="D16" i="2"/>
  <c r="C15" i="2"/>
  <c r="D18" i="2"/>
  <c r="D17" i="2"/>
  <c r="J16" i="3"/>
  <c r="N16" i="3"/>
  <c r="I22" i="2"/>
  <c r="R51" i="3"/>
  <c r="V49" i="3" s="1"/>
  <c r="D11" i="2"/>
  <c r="C4" i="2"/>
  <c r="C12" i="2" s="1"/>
  <c r="I10" i="3"/>
  <c r="I19" i="3" s="1"/>
  <c r="AE49" i="3"/>
  <c r="E22" i="2" s="1"/>
  <c r="R14" i="3"/>
  <c r="AJ14" i="3"/>
  <c r="AL14" i="3" s="1"/>
  <c r="AL10" i="3" s="1"/>
  <c r="AS14" i="3"/>
  <c r="AU14" i="3" s="1"/>
  <c r="AU10" i="3" s="1"/>
  <c r="AA14" i="3"/>
  <c r="AC14" i="3" s="1"/>
  <c r="AC10" i="3" s="1"/>
  <c r="M9" i="2"/>
  <c r="F11" i="2"/>
  <c r="AL11" i="4"/>
  <c r="AK22" i="4"/>
  <c r="AI24" i="4"/>
  <c r="J22" i="2"/>
  <c r="AJ22" i="4"/>
  <c r="AJ23" i="4" s="1"/>
  <c r="AL21" i="4"/>
  <c r="E11" i="2"/>
  <c r="C34" i="2"/>
  <c r="M34" i="2" s="1"/>
  <c r="M35" i="2" s="1"/>
  <c r="AN49" i="3"/>
  <c r="F22" i="2" s="1"/>
  <c r="I50" i="3"/>
  <c r="L50" i="3" s="1"/>
  <c r="AB24" i="4"/>
  <c r="AL42" i="4"/>
  <c r="I51" i="3"/>
  <c r="L51" i="3" s="1"/>
  <c r="AB43" i="4"/>
  <c r="AL61" i="4"/>
  <c r="I52" i="3"/>
  <c r="L52" i="3" s="1"/>
  <c r="AL62" i="4"/>
  <c r="CT12" i="3" l="1"/>
  <c r="CT13" i="3"/>
  <c r="CT11" i="3"/>
  <c r="J17" i="3"/>
  <c r="AL43" i="4"/>
  <c r="M8" i="3"/>
  <c r="CS52" i="3"/>
  <c r="CO52" i="3"/>
  <c r="BE52" i="3"/>
  <c r="U52" i="3"/>
  <c r="AV52" i="3"/>
  <c r="CF52" i="3"/>
  <c r="AM52" i="3"/>
  <c r="BN52" i="3"/>
  <c r="AD52" i="3"/>
  <c r="BW52" i="3"/>
  <c r="CF51" i="3"/>
  <c r="AM51" i="3"/>
  <c r="CO51" i="3"/>
  <c r="U51" i="3"/>
  <c r="BW51" i="3"/>
  <c r="AD51" i="3"/>
  <c r="AV51" i="3"/>
  <c r="BE51" i="3"/>
  <c r="BN51" i="3"/>
  <c r="AV50" i="3"/>
  <c r="CO50" i="3"/>
  <c r="U50" i="3"/>
  <c r="CF50" i="3"/>
  <c r="BN50" i="3"/>
  <c r="BE50" i="3"/>
  <c r="BW50" i="3"/>
  <c r="AM50" i="3"/>
  <c r="AD50" i="3"/>
  <c r="T14" i="3"/>
  <c r="T10" i="3" s="1"/>
  <c r="D22" i="2"/>
  <c r="W36" i="3"/>
  <c r="AO13" i="3"/>
  <c r="AK13" i="3"/>
  <c r="AO12" i="3"/>
  <c r="AK12" i="3"/>
  <c r="AO11" i="3"/>
  <c r="AK11" i="3"/>
  <c r="AF16" i="3"/>
  <c r="AB16" i="3"/>
  <c r="AF13" i="3"/>
  <c r="AB13" i="3"/>
  <c r="AF12" i="3"/>
  <c r="AB12" i="3"/>
  <c r="AF11" i="3"/>
  <c r="AB11" i="3"/>
  <c r="AF6" i="3"/>
  <c r="AB6" i="3"/>
  <c r="W16" i="3"/>
  <c r="S16" i="3"/>
  <c r="W13" i="3"/>
  <c r="CS13" i="3" s="1"/>
  <c r="S13" i="3"/>
  <c r="W12" i="3"/>
  <c r="S12" i="3"/>
  <c r="W11" i="3"/>
  <c r="CS11" i="3" s="1"/>
  <c r="S11" i="3"/>
  <c r="W8" i="3"/>
  <c r="S8" i="3"/>
  <c r="W7" i="3"/>
  <c r="S7" i="3"/>
  <c r="W6" i="3"/>
  <c r="S6" i="3"/>
  <c r="AE17" i="3"/>
  <c r="AN16" i="3"/>
  <c r="J5" i="3"/>
  <c r="U4" i="3"/>
  <c r="AN6" i="3"/>
  <c r="AE7" i="3"/>
  <c r="AE8" i="3"/>
  <c r="N17" i="3"/>
  <c r="N5" i="3"/>
  <c r="V5" i="3"/>
  <c r="V4" i="3" s="1"/>
  <c r="E16" i="2"/>
  <c r="D15" i="2"/>
  <c r="E18" i="2"/>
  <c r="AF26" i="3"/>
  <c r="E17" i="2"/>
  <c r="CS51" i="3"/>
  <c r="J4" i="2"/>
  <c r="J12" i="2" s="1"/>
  <c r="H4" i="2"/>
  <c r="H12" i="2" s="1"/>
  <c r="K22" i="2"/>
  <c r="AK23" i="4"/>
  <c r="AK24" i="4" s="1"/>
  <c r="AA10" i="3"/>
  <c r="AA19" i="3" s="1"/>
  <c r="I4" i="2"/>
  <c r="I12" i="2" s="1"/>
  <c r="K4" i="2"/>
  <c r="K12" i="2" s="1"/>
  <c r="F4" i="2"/>
  <c r="F12" i="2" s="1"/>
  <c r="L4" i="2"/>
  <c r="L12" i="2" s="1"/>
  <c r="AS10" i="3"/>
  <c r="AS19" i="3" s="1"/>
  <c r="K10" i="3"/>
  <c r="D4" i="2"/>
  <c r="D12" i="2" s="1"/>
  <c r="R10" i="3"/>
  <c r="E4" i="2"/>
  <c r="E12" i="2" s="1"/>
  <c r="AJ10" i="3"/>
  <c r="AJ19" i="3" s="1"/>
  <c r="G4" i="2"/>
  <c r="G12" i="2" s="1"/>
  <c r="AL22" i="4"/>
  <c r="AJ24" i="4"/>
  <c r="M11" i="2"/>
  <c r="M49" i="3"/>
  <c r="N36" i="3" s="1"/>
  <c r="W17" i="3"/>
  <c r="CS12" i="3" l="1"/>
  <c r="N8" i="3"/>
  <c r="J8" i="3"/>
  <c r="AL23" i="4"/>
  <c r="BY56" i="3"/>
  <c r="BP56" i="3"/>
  <c r="CQ56" i="3"/>
  <c r="BG56" i="3"/>
  <c r="CH56" i="3"/>
  <c r="R19" i="3"/>
  <c r="AO16" i="3"/>
  <c r="AK16" i="3"/>
  <c r="AO6" i="3"/>
  <c r="AK6" i="3"/>
  <c r="AF17" i="3"/>
  <c r="AB17" i="3"/>
  <c r="AF8" i="3"/>
  <c r="AB8" i="3"/>
  <c r="AF7" i="3"/>
  <c r="AB7" i="3"/>
  <c r="AW16" i="3"/>
  <c r="CT16" i="3" s="1"/>
  <c r="AN17" i="3"/>
  <c r="AW6" i="3"/>
  <c r="CT6" i="3" s="1"/>
  <c r="AN7" i="3"/>
  <c r="AN8" i="3"/>
  <c r="S5" i="3"/>
  <c r="W5" i="3"/>
  <c r="W4" i="3" s="1"/>
  <c r="AD4" i="3"/>
  <c r="AE5" i="3"/>
  <c r="F16" i="2"/>
  <c r="E15" i="2"/>
  <c r="F18" i="2"/>
  <c r="F17" i="2"/>
  <c r="AO26" i="3"/>
  <c r="L22" i="2"/>
  <c r="AL24" i="4"/>
  <c r="M4" i="2"/>
  <c r="M12" i="2"/>
  <c r="C22" i="2"/>
  <c r="CQ57" i="3" l="1"/>
  <c r="AK3" i="4"/>
  <c r="BG57" i="3"/>
  <c r="AG3" i="4"/>
  <c r="BY57" i="3"/>
  <c r="AI3" i="4"/>
  <c r="CH57" i="3"/>
  <c r="AJ3" i="4"/>
  <c r="BP57" i="3"/>
  <c r="AH3" i="4"/>
  <c r="AB5" i="3"/>
  <c r="AX16" i="3"/>
  <c r="CS16" i="3" s="1"/>
  <c r="AT16" i="3"/>
  <c r="AX6" i="3"/>
  <c r="CS6" i="3" s="1"/>
  <c r="AT6" i="3"/>
  <c r="AO17" i="3"/>
  <c r="AK17" i="3"/>
  <c r="AO8" i="3"/>
  <c r="AK8" i="3"/>
  <c r="AO7" i="3"/>
  <c r="AK7" i="3"/>
  <c r="AW17" i="3"/>
  <c r="CT17" i="3" s="1"/>
  <c r="AW7" i="3"/>
  <c r="AW8" i="3"/>
  <c r="CT8" i="3" s="1"/>
  <c r="AM4" i="3"/>
  <c r="AN5" i="3"/>
  <c r="AF5" i="3"/>
  <c r="AF4" i="3" s="1"/>
  <c r="AE4" i="3"/>
  <c r="G16" i="2"/>
  <c r="M16" i="2" s="1"/>
  <c r="CS38" i="3"/>
  <c r="F15" i="2"/>
  <c r="G18" i="2"/>
  <c r="M18" i="2" s="1"/>
  <c r="CS28" i="3"/>
  <c r="G17" i="2"/>
  <c r="M17" i="2" s="1"/>
  <c r="AX26" i="3"/>
  <c r="CS26" i="3" s="1"/>
  <c r="CS27" i="3"/>
  <c r="CS49" i="3"/>
  <c r="M22" i="2"/>
  <c r="CS50" i="3"/>
  <c r="AK5" i="3" l="1"/>
  <c r="BG58" i="3"/>
  <c r="BG61" i="3" s="1"/>
  <c r="AG5" i="4"/>
  <c r="CH58" i="3"/>
  <c r="CH61" i="3" s="1"/>
  <c r="AJ5" i="4"/>
  <c r="BY58" i="3"/>
  <c r="BY61" i="3" s="1"/>
  <c r="AI5" i="4"/>
  <c r="BP58" i="3"/>
  <c r="BP61" i="3" s="1"/>
  <c r="AH5" i="4"/>
  <c r="CQ58" i="3"/>
  <c r="CQ61" i="3" s="1"/>
  <c r="AK5" i="4"/>
  <c r="AX17" i="3"/>
  <c r="CS17" i="3" s="1"/>
  <c r="AT17" i="3"/>
  <c r="AX8" i="3"/>
  <c r="CS8" i="3" s="1"/>
  <c r="AT8" i="3"/>
  <c r="AX7" i="3"/>
  <c r="AT7" i="3"/>
  <c r="AV4" i="3"/>
  <c r="AW5" i="3"/>
  <c r="CT5" i="3" s="1"/>
  <c r="AO5" i="3"/>
  <c r="AN4" i="3"/>
  <c r="G15" i="2"/>
  <c r="M15" i="2" s="1"/>
  <c r="CS37" i="3"/>
  <c r="AO4" i="3" l="1"/>
  <c r="AT5" i="3"/>
  <c r="AX5" i="3"/>
  <c r="AX4" i="3" s="1"/>
  <c r="AW4" i="3"/>
  <c r="CS5" i="3" l="1"/>
  <c r="L10" i="3"/>
  <c r="M15" i="3"/>
  <c r="M14" i="3"/>
  <c r="J15" i="3" l="1"/>
  <c r="J14" i="3"/>
  <c r="M10" i="3"/>
  <c r="N14" i="3"/>
  <c r="N15" i="3"/>
  <c r="N10" i="3" l="1"/>
  <c r="C21" i="2" l="1"/>
  <c r="D21" i="2" l="1"/>
  <c r="E21" i="2" l="1"/>
  <c r="AF36" i="3"/>
  <c r="F21" i="2" l="1"/>
  <c r="AO36" i="3"/>
  <c r="G21" i="2" l="1"/>
  <c r="AX36" i="3"/>
  <c r="H21" i="2" l="1"/>
  <c r="I21" i="2" l="1"/>
  <c r="J21" i="2" l="1"/>
  <c r="L21" i="2" l="1"/>
  <c r="K21" i="2"/>
  <c r="CS46" i="3"/>
  <c r="CS47" i="3"/>
  <c r="AE15" i="3"/>
  <c r="AE14" i="3"/>
  <c r="AB14" i="3" s="1"/>
  <c r="AF15" i="3" l="1"/>
  <c r="AB15" i="3"/>
  <c r="M21" i="2"/>
  <c r="AF14" i="3"/>
  <c r="CS36" i="3"/>
  <c r="AE10" i="3"/>
  <c r="AE19" i="3" l="1"/>
  <c r="E13" i="2" s="1"/>
  <c r="AF10" i="3"/>
  <c r="AF19" i="3" s="1"/>
  <c r="AF54" i="3" s="1"/>
  <c r="AF56" i="3" l="1"/>
  <c r="AF55" i="3"/>
  <c r="AF64" i="3" s="1"/>
  <c r="AF57" i="3" l="1"/>
  <c r="E24" i="2" s="1"/>
  <c r="E25" i="2" s="1"/>
  <c r="AD3" i="4"/>
  <c r="V15" i="3"/>
  <c r="V14" i="3"/>
  <c r="S14" i="3" l="1"/>
  <c r="AF58" i="3"/>
  <c r="AF61" i="3" s="1"/>
  <c r="AD5" i="4"/>
  <c r="W15" i="3"/>
  <c r="S15" i="3"/>
  <c r="W14" i="3"/>
  <c r="V10" i="3"/>
  <c r="V19" i="3" l="1"/>
  <c r="D13" i="2" s="1"/>
  <c r="W10" i="3"/>
  <c r="W19" i="3" l="1"/>
  <c r="W54" i="3"/>
  <c r="W56" i="3" l="1"/>
  <c r="W55" i="3"/>
  <c r="W64" i="3" s="1"/>
  <c r="W57" i="3" l="1"/>
  <c r="D24" i="2" s="1"/>
  <c r="D25" i="2" s="1"/>
  <c r="AC3" i="4"/>
  <c r="AN15" i="3"/>
  <c r="AN14" i="3"/>
  <c r="AK14" i="3" l="1"/>
  <c r="W58" i="3"/>
  <c r="W61" i="3" s="1"/>
  <c r="AC5" i="4"/>
  <c r="AO15" i="3"/>
  <c r="AK15" i="3"/>
  <c r="AO14" i="3"/>
  <c r="AN10" i="3"/>
  <c r="AN19" i="3" l="1"/>
  <c r="AO10" i="3"/>
  <c r="AO19" i="3" l="1"/>
  <c r="AO54" i="3" s="1"/>
  <c r="AO56" i="3" s="1"/>
  <c r="AO57" i="3" s="1"/>
  <c r="F13" i="2"/>
  <c r="AO55" i="3" l="1"/>
  <c r="AO64" i="3" s="1"/>
  <c r="AE3" i="4"/>
  <c r="AO58" i="3"/>
  <c r="AO61" i="3" s="1"/>
  <c r="AE5" i="4"/>
  <c r="F24" i="2"/>
  <c r="F25" i="2" s="1"/>
  <c r="AW15" i="3" l="1"/>
  <c r="CT15" i="3" s="1"/>
  <c r="AW14" i="3"/>
  <c r="CT14" i="3" s="1"/>
  <c r="AT14" i="3" l="1"/>
  <c r="AT15" i="3"/>
  <c r="AX14" i="3"/>
  <c r="CS14" i="3" s="1"/>
  <c r="AW10" i="3"/>
  <c r="CT10" i="3" s="1"/>
  <c r="AX15" i="3"/>
  <c r="CS15" i="3" s="1"/>
  <c r="AW19" i="3" l="1"/>
  <c r="G13" i="2" s="1"/>
  <c r="AX10" i="3"/>
  <c r="AX19" i="3" l="1"/>
  <c r="CS10" i="3"/>
  <c r="AX54" i="3"/>
  <c r="AX56" i="3" s="1"/>
  <c r="AX57" i="3" l="1"/>
  <c r="AF3" i="4"/>
  <c r="AX55" i="3"/>
  <c r="AX64" i="3" s="1"/>
  <c r="H13" i="2"/>
  <c r="AX58" i="3" l="1"/>
  <c r="AX61" i="3" s="1"/>
  <c r="AF5" i="4"/>
  <c r="G24" i="2"/>
  <c r="G25" i="2" l="1"/>
  <c r="I13" i="2" l="1"/>
  <c r="H24" i="2"/>
  <c r="H25" i="2" s="1"/>
  <c r="I24" i="2" l="1"/>
  <c r="I25" i="2" s="1"/>
  <c r="J13" i="2" l="1"/>
  <c r="J24" i="2" l="1"/>
  <c r="J25" i="2" s="1"/>
  <c r="K13" i="2" l="1"/>
  <c r="K24" i="2" l="1"/>
  <c r="K25" i="2" s="1"/>
  <c r="L13" i="2" l="1"/>
  <c r="L24" i="2" l="1"/>
  <c r="L25" i="2" l="1"/>
  <c r="M7" i="3"/>
  <c r="CT7" i="3" s="1"/>
  <c r="M4" i="3" l="1"/>
  <c r="CT4" i="3" s="1"/>
  <c r="J7" i="3"/>
  <c r="N7" i="3"/>
  <c r="N4" i="3" l="1"/>
  <c r="CS7" i="3"/>
  <c r="M19" i="3"/>
  <c r="CT19" i="3" s="1"/>
  <c r="N19" i="3" l="1"/>
  <c r="CS4" i="3"/>
  <c r="C13" i="2"/>
  <c r="C25" i="2" s="1"/>
  <c r="M25" i="2" s="1"/>
  <c r="CS19" i="3" l="1"/>
  <c r="N54" i="3"/>
  <c r="M13" i="2"/>
  <c r="CS54" i="3" l="1"/>
  <c r="N56" i="3"/>
  <c r="N55" i="3"/>
  <c r="N57" i="3" l="1"/>
  <c r="AB3" i="4"/>
  <c r="CS56" i="3"/>
  <c r="N64" i="3"/>
  <c r="CS55" i="3"/>
  <c r="CS64" i="3" s="1"/>
  <c r="N58" i="3" l="1"/>
  <c r="CS57" i="3"/>
  <c r="C24" i="2"/>
  <c r="M24" i="2" s="1"/>
  <c r="AB5" i="4"/>
  <c r="N61" i="3" l="1"/>
  <c r="CS58" i="3"/>
  <c r="CS61" i="3" l="1"/>
  <c r="M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16" authorId="0" shapeId="0" xr:uid="{A18ED6E9-10DA-CA49-BD8D-522E6D841CC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Publications
</t>
        </r>
        <r>
          <rPr>
            <sz val="10"/>
            <color rgb="FF000000"/>
            <rFont val="Tahoma"/>
            <family val="2"/>
          </rPr>
          <t xml:space="preserve">Computer Services
</t>
        </r>
        <r>
          <rPr>
            <sz val="10"/>
            <color rgb="FF000000"/>
            <rFont val="Tahoma"/>
            <family val="2"/>
          </rPr>
          <t xml:space="preserve">Current Services
</t>
        </r>
        <r>
          <rPr>
            <sz val="10"/>
            <color rgb="FF000000"/>
            <rFont val="Tahoma"/>
            <family val="2"/>
          </rPr>
          <t xml:space="preserve">Human Subjects Payments
</t>
        </r>
        <r>
          <rPr>
            <sz val="10"/>
            <color rgb="FF000000"/>
            <rFont val="Tahoma"/>
            <family val="2"/>
          </rPr>
          <t xml:space="preserve">Data Management &amp; Sharing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 Internal Budget tab</t>
        </r>
      </text>
    </comment>
    <comment ref="B23" authorId="0" shapeId="0" xr:uid="{F03A32E9-8C2E-EB4D-9378-12FCF0266B9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Other ODCs on Internal Budget Tab</t>
        </r>
      </text>
    </comment>
  </commentList>
</comments>
</file>

<file path=xl/sharedStrings.xml><?xml version="1.0" encoding="utf-8"?>
<sst xmlns="http://schemas.openxmlformats.org/spreadsheetml/2006/main" count="1413" uniqueCount="304">
  <si>
    <t>Initial Segment</t>
  </si>
  <si>
    <t>Segment Breakout by Department/College</t>
  </si>
  <si>
    <t>r,v,w</t>
  </si>
  <si>
    <t>aa,ae,af</t>
  </si>
  <si>
    <t>aj,an,ao</t>
  </si>
  <si>
    <t>as,aw,ax</t>
  </si>
  <si>
    <t>PI Name, Dept/College</t>
  </si>
  <si>
    <t>Acct</t>
  </si>
  <si>
    <t>Descr</t>
  </si>
  <si>
    <t>TOTAL</t>
  </si>
  <si>
    <t>Grad Student RA</t>
  </si>
  <si>
    <t>Faculty Summer</t>
  </si>
  <si>
    <t>Faculty Academic</t>
  </si>
  <si>
    <t>Faculty Calendar</t>
  </si>
  <si>
    <t>Staff</t>
  </si>
  <si>
    <t>Postdoc</t>
  </si>
  <si>
    <t>Non-Student Hourly</t>
  </si>
  <si>
    <t>Student hourly</t>
  </si>
  <si>
    <t>Personnel Compensation BUDGET</t>
  </si>
  <si>
    <t>Staff Benefits BUDGET</t>
  </si>
  <si>
    <t>Contracted Services BUDGET</t>
  </si>
  <si>
    <t>Supplies and Materials BUDGET</t>
  </si>
  <si>
    <t>Current Services BUDGET</t>
  </si>
  <si>
    <t>Travel BUDGET (Domestic)</t>
  </si>
  <si>
    <t>Out-of-Country Travel BUDGET</t>
  </si>
  <si>
    <t>Fixed Charges BUDGET</t>
  </si>
  <si>
    <t>Capital Outlay BUDGET</t>
  </si>
  <si>
    <t>Aids and Grants BUDGET</t>
  </si>
  <si>
    <t>Sub-grant/contr Pay</t>
  </si>
  <si>
    <t>Budget Pool BUDGET</t>
  </si>
  <si>
    <t>Indirect Ovhd Costs</t>
  </si>
  <si>
    <t>Participant Support Segment</t>
  </si>
  <si>
    <t>Period 3</t>
  </si>
  <si>
    <t>Period 4</t>
  </si>
  <si>
    <t>Period 5</t>
  </si>
  <si>
    <t>SUMMARY</t>
  </si>
  <si>
    <t>Annualized</t>
  </si>
  <si>
    <t>Annual $</t>
  </si>
  <si>
    <t>9mo 12mo</t>
  </si>
  <si>
    <t>Personnel Category</t>
  </si>
  <si>
    <t>Project Role</t>
  </si>
  <si>
    <t>Name</t>
  </si>
  <si>
    <t>Effort (mo)</t>
  </si>
  <si>
    <t>Salary</t>
  </si>
  <si>
    <t>Fringe</t>
  </si>
  <si>
    <t>Insur</t>
  </si>
  <si>
    <t>Total</t>
  </si>
  <si>
    <t>Senior Personnel</t>
  </si>
  <si>
    <t>Other Personnel</t>
  </si>
  <si>
    <t>Increments</t>
  </si>
  <si>
    <t>Salaries &amp; Fringe</t>
  </si>
  <si>
    <t>Tuition</t>
  </si>
  <si>
    <t>Equipment</t>
  </si>
  <si>
    <t>Equipment 1</t>
  </si>
  <si>
    <t>Equipment 2</t>
  </si>
  <si>
    <t>GRA Calculation Table</t>
  </si>
  <si>
    <t>Travel</t>
  </si>
  <si>
    <t># Grad Students (whole no.)</t>
  </si>
  <si>
    <t>Domestic Travel</t>
  </si>
  <si>
    <t># Semesters per student (1 or 2)</t>
  </si>
  <si>
    <t>International Travel</t>
  </si>
  <si>
    <t># Summer Mo per student (1,2, or 3)</t>
  </si>
  <si>
    <t>Participant Support</t>
  </si>
  <si>
    <t># Semesters total (for tuition)</t>
  </si>
  <si>
    <t>Stipend</t>
  </si>
  <si>
    <t>Hourly Calculation Table</t>
  </si>
  <si>
    <t>per year:</t>
  </si>
  <si>
    <t>Subsistence</t>
  </si>
  <si>
    <t># of Undergrads</t>
  </si>
  <si>
    <t>Other</t>
  </si>
  <si>
    <t>Hourly Rate</t>
  </si>
  <si>
    <t># of Hours per student per year</t>
  </si>
  <si>
    <t>Other Direct Costs</t>
  </si>
  <si>
    <t>Materials &amp; Supplies</t>
  </si>
  <si>
    <t>Publications</t>
  </si>
  <si>
    <t>Honorarium/Consultant</t>
  </si>
  <si>
    <t>Effort % Calculation Table</t>
  </si>
  <si>
    <t>Computer Svcs</t>
  </si>
  <si>
    <t>9mo or 12mo appt</t>
  </si>
  <si>
    <t>Fixed Chgs/Svc Ctrs</t>
  </si>
  <si>
    <t># Academic Months of Effort</t>
  </si>
  <si>
    <t>Current Services</t>
  </si>
  <si>
    <t># Summer Months of Effort</t>
  </si>
  <si>
    <t>Human Subject Payments</t>
  </si>
  <si>
    <t># Calendar Months of Effort</t>
  </si>
  <si>
    <t>Other ODCs</t>
  </si>
  <si>
    <t>Total Effort Mo.</t>
  </si>
  <si>
    <t>out-of-state</t>
  </si>
  <si>
    <t>Total Effort %</t>
  </si>
  <si>
    <t>Subawards</t>
  </si>
  <si>
    <t>Direct</t>
  </si>
  <si>
    <t>Indirect</t>
  </si>
  <si>
    <t>Total Direct Costs</t>
  </si>
  <si>
    <t>Total Direct (NIH)</t>
  </si>
  <si>
    <t>MTDC</t>
  </si>
  <si>
    <t>Indirect (F&amp;A)</t>
  </si>
  <si>
    <t>On Campus</t>
  </si>
  <si>
    <t>Direct + Indirect</t>
  </si>
  <si>
    <t>difference</t>
  </si>
  <si>
    <t>do not adjust</t>
  </si>
  <si>
    <t>Travel Breakout</t>
  </si>
  <si>
    <t>Supplies Breakout</t>
  </si>
  <si>
    <t>Participant Support Breakout</t>
  </si>
  <si>
    <t>Institution - Site PI 1</t>
  </si>
  <si>
    <t>Trip Purpose:</t>
  </si>
  <si>
    <t>Supplies Purpose:</t>
  </si>
  <si>
    <t>Participant:</t>
  </si>
  <si>
    <t>Year 1</t>
  </si>
  <si>
    <t>Year 2</t>
  </si>
  <si>
    <t>Year 3</t>
  </si>
  <si>
    <t>Year 4</t>
  </si>
  <si>
    <t>Year 5</t>
  </si>
  <si>
    <t>Unit Cost</t>
  </si>
  <si>
    <t>#days/nts</t>
  </si>
  <si>
    <t>#travelers</t>
  </si>
  <si>
    <t>#trips/yr</t>
  </si>
  <si>
    <t>#Units</t>
  </si>
  <si>
    <t>%Alloc to Project</t>
  </si>
  <si>
    <t>Line 1</t>
  </si>
  <si>
    <t>airfare</t>
  </si>
  <si>
    <t>Supplies Category 1</t>
  </si>
  <si>
    <t>Line 2</t>
  </si>
  <si>
    <t>ground</t>
  </si>
  <si>
    <t>Line 3</t>
  </si>
  <si>
    <t>lodging</t>
  </si>
  <si>
    <t>Line 4</t>
  </si>
  <si>
    <t>meals</t>
  </si>
  <si>
    <t>Line 5</t>
  </si>
  <si>
    <t>conf fee</t>
  </si>
  <si>
    <t>Supplies Category 2</t>
  </si>
  <si>
    <t>Line 6</t>
  </si>
  <si>
    <t>other</t>
  </si>
  <si>
    <t>F&amp;A</t>
  </si>
  <si>
    <t>Supplies Category 3</t>
  </si>
  <si>
    <t>Institution - Site PI 2</t>
  </si>
  <si>
    <t>Fixed Charges/ NCSU User Fees</t>
  </si>
  <si>
    <t>Services Purpose:</t>
  </si>
  <si>
    <t>Consultant:</t>
  </si>
  <si>
    <t>Rate</t>
  </si>
  <si>
    <t>#Hrs</t>
  </si>
  <si>
    <t>Service 1</t>
  </si>
  <si>
    <t>Consultant 1</t>
  </si>
  <si>
    <t>Service 2</t>
  </si>
  <si>
    <t>Consultant 2</t>
  </si>
  <si>
    <t>Service 3</t>
  </si>
  <si>
    <t>Consultant 3</t>
  </si>
  <si>
    <t>Service 4</t>
  </si>
  <si>
    <t>Consultant 4</t>
  </si>
  <si>
    <t>Service 5</t>
  </si>
  <si>
    <t>page charges</t>
  </si>
  <si>
    <t>poster printing</t>
  </si>
  <si>
    <t>Institution - Site PI 3</t>
  </si>
  <si>
    <t>Publication 3</t>
  </si>
  <si>
    <t>Current Services/Outside Services</t>
  </si>
  <si>
    <t>Equipment Purpose:</t>
  </si>
  <si>
    <t>Equipment 3</t>
  </si>
  <si>
    <t>Equipment 4</t>
  </si>
  <si>
    <t>Equipment 5</t>
  </si>
  <si>
    <t>FY23-24</t>
  </si>
  <si>
    <t>FY24-25</t>
  </si>
  <si>
    <t>FY25-26</t>
  </si>
  <si>
    <t>FY26-27</t>
  </si>
  <si>
    <t>FY27-28</t>
  </si>
  <si>
    <t>Non-Student hourly</t>
  </si>
  <si>
    <t>in-state tuition</t>
  </si>
  <si>
    <t>fees</t>
  </si>
  <si>
    <t>in-state</t>
  </si>
  <si>
    <t>out-of-state tuition</t>
  </si>
  <si>
    <t>remission</t>
  </si>
  <si>
    <t>in-st+fees</t>
  </si>
  <si>
    <t>oost+fees</t>
  </si>
  <si>
    <t>TDC</t>
  </si>
  <si>
    <t>Off Campus Adjacent</t>
  </si>
  <si>
    <t>Off Campus</t>
  </si>
  <si>
    <t>TFFA 30%</t>
  </si>
  <si>
    <t>NIH Salary Caps</t>
  </si>
  <si>
    <t>Period 1</t>
  </si>
  <si>
    <t>Period 2</t>
  </si>
  <si>
    <t>FY28-29</t>
  </si>
  <si>
    <t>item 1</t>
  </si>
  <si>
    <t>item 2</t>
  </si>
  <si>
    <t>item 3</t>
  </si>
  <si>
    <t>item 4</t>
  </si>
  <si>
    <t>item 5</t>
  </si>
  <si>
    <t>target TDC</t>
  </si>
  <si>
    <t>target Direct+Indirect</t>
  </si>
  <si>
    <t>FY29-30</t>
  </si>
  <si>
    <t>FY30-31</t>
  </si>
  <si>
    <t>FY31-32</t>
  </si>
  <si>
    <t>FY32-33</t>
  </si>
  <si>
    <t>Year 6</t>
  </si>
  <si>
    <t>Year 7</t>
  </si>
  <si>
    <t>Year 8</t>
  </si>
  <si>
    <t>Year 9</t>
  </si>
  <si>
    <t>Year 10</t>
  </si>
  <si>
    <t>i,m,n</t>
  </si>
  <si>
    <t>GRA 2</t>
  </si>
  <si>
    <t>GRA 2:</t>
  </si>
  <si>
    <t>GRA 1:</t>
  </si>
  <si>
    <t>GRA 1</t>
  </si>
  <si>
    <t>bb,bf,bg</t>
  </si>
  <si>
    <t>bk,bo,bp</t>
  </si>
  <si>
    <t>bt,bx,by</t>
  </si>
  <si>
    <t>cc,cg,ch</t>
  </si>
  <si>
    <t>cl,cp,cq</t>
  </si>
  <si>
    <t>m</t>
  </si>
  <si>
    <t>v</t>
  </si>
  <si>
    <t>ae</t>
  </si>
  <si>
    <t>an</t>
  </si>
  <si>
    <t>aw</t>
  </si>
  <si>
    <t>bf</t>
  </si>
  <si>
    <t>bo</t>
  </si>
  <si>
    <t>bx</t>
  </si>
  <si>
    <t>cg</t>
  </si>
  <si>
    <t>cp</t>
  </si>
  <si>
    <t>COS Internal Budget</t>
  </si>
  <si>
    <t>TFFA 15%</t>
  </si>
  <si>
    <t>^ungroup to create segment budgets</t>
  </si>
  <si>
    <t>Tuition1: #semesters</t>
  </si>
  <si>
    <t>Tuition2: #semesters</t>
  </si>
  <si>
    <t>Stipends (non-REU)</t>
  </si>
  <si>
    <t>Stipends (REU)</t>
  </si>
  <si>
    <t>Educational Service Agreement Payments to Participants</t>
  </si>
  <si>
    <t>Stipends (NCState Student - REU)</t>
  </si>
  <si>
    <t>Stipends (NC State Student - REU from non-federal funds)</t>
  </si>
  <si>
    <t>Tuition and Fees (non-REU)</t>
  </si>
  <si>
    <t>User Fee 1</t>
  </si>
  <si>
    <t>User Fee 2</t>
  </si>
  <si>
    <t>User Fee 3</t>
  </si>
  <si>
    <t>User Fee 4</t>
  </si>
  <si>
    <t>User Fee 5</t>
  </si>
  <si>
    <t>Consultant 5</t>
  </si>
  <si>
    <t>Line 7</t>
  </si>
  <si>
    <t>Line 8</t>
  </si>
  <si>
    <t>Line 9</t>
  </si>
  <si>
    <t>Line 10</t>
  </si>
  <si>
    <t>Subaward 1</t>
  </si>
  <si>
    <t>Subaward 2</t>
  </si>
  <si>
    <t>Subaward 3</t>
  </si>
  <si>
    <t>UG 1:</t>
  </si>
  <si>
    <t>UG 2:</t>
  </si>
  <si>
    <t>UG 1</t>
  </si>
  <si>
    <t>UG 2</t>
  </si>
  <si>
    <t>Educational Payment to Participant - Childcare Reimbursement</t>
  </si>
  <si>
    <t>Total Fringe%</t>
  </si>
  <si>
    <t>verify w/C&amp;G how partiicipant support budget is now/should be loaded</t>
  </si>
  <si>
    <t>(current PSC segments have everything in 56962)</t>
  </si>
  <si>
    <t>Consultant/Honorarium Breakout</t>
  </si>
  <si>
    <t>Period 10</t>
  </si>
  <si>
    <t>Period 9</t>
  </si>
  <si>
    <t>Period 8</t>
  </si>
  <si>
    <t>Period 7</t>
  </si>
  <si>
    <t>Period 6</t>
  </si>
  <si>
    <t>Fringe Rate Fiscal year</t>
  </si>
  <si>
    <t>FY33-34</t>
  </si>
  <si>
    <t>FY34-35</t>
  </si>
  <si>
    <t>FY35-36</t>
  </si>
  <si>
    <t>FY36-37</t>
  </si>
  <si>
    <t>FY37-38</t>
  </si>
  <si>
    <t>FY38-39</t>
  </si>
  <si>
    <t>FY39-40</t>
  </si>
  <si>
    <t>Fiscal Year</t>
  </si>
  <si>
    <t>HI</t>
  </si>
  <si>
    <t>PostDoc</t>
  </si>
  <si>
    <t>Student Hourly</t>
  </si>
  <si>
    <t>Tuition Category</t>
  </si>
  <si>
    <t>Tuition per semester</t>
  </si>
  <si>
    <t>In-st+fees</t>
  </si>
  <si>
    <t>In State Tuition</t>
  </si>
  <si>
    <t>=</t>
  </si>
  <si>
    <t>Out of State Tuition</t>
  </si>
  <si>
    <t>In State Tuition + Remission</t>
  </si>
  <si>
    <t>Remission</t>
  </si>
  <si>
    <t>Out of State - In State * 0.25</t>
  </si>
  <si>
    <t>In State Plus Fees</t>
  </si>
  <si>
    <t>In State Tuition + Fees</t>
  </si>
  <si>
    <t>SPARCS Link</t>
  </si>
  <si>
    <t>Out of State Plus Fees</t>
  </si>
  <si>
    <t>In State Tuition + Remission + Fees</t>
  </si>
  <si>
    <t>How to Calculate</t>
  </si>
  <si>
    <t>Helper</t>
  </si>
  <si>
    <t>FY Drop Down</t>
  </si>
  <si>
    <t>Personnel Category Drop Down</t>
  </si>
  <si>
    <t>Tuition Drop Down</t>
  </si>
  <si>
    <t>MTDC vs TDC Drop Down</t>
  </si>
  <si>
    <t>F&amp;A Drop Down</t>
  </si>
  <si>
    <t>F&amp;A Rates</t>
  </si>
  <si>
    <t>Annual Salary</t>
  </si>
  <si>
    <t>NIH Salary CAP</t>
  </si>
  <si>
    <t>Health Ins.</t>
  </si>
  <si>
    <t>SubAward F&amp;A limit</t>
  </si>
  <si>
    <t>FY 24-25</t>
  </si>
  <si>
    <t>Fringe Total</t>
  </si>
  <si>
    <t>Facilities and Administrative Costs (F&amp;A)</t>
  </si>
  <si>
    <t>MTDC Base</t>
  </si>
  <si>
    <t>Indirect Rate</t>
  </si>
  <si>
    <t>Indirect Costs</t>
  </si>
  <si>
    <t>Subsistance</t>
  </si>
  <si>
    <t># of Participants</t>
  </si>
  <si>
    <t>Cost Per Participant</t>
  </si>
  <si>
    <t>CY2025</t>
  </si>
  <si>
    <t>per NOT-HS-25-015</t>
  </si>
  <si>
    <t>Salary and Fringe Total</t>
  </si>
  <si>
    <t>FY 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</si>
</sst>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"/>
    <numFmt numFmtId="166" formatCode="#,##0.000"/>
    <numFmt numFmtId="167" formatCode="_(* #,##0_);_(* \(#,##0\);_(* &quot;-&quot;??_);_(@_)"/>
    <numFmt numFmtId="168" formatCode="0.000%"/>
  </numFmts>
  <fonts count="45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theme="1"/>
      <name val="Arial"/>
      <family val="2"/>
    </font>
    <font>
      <u/>
      <sz val="8"/>
      <color theme="1"/>
      <name val="Arial"/>
      <family val="2"/>
    </font>
    <font>
      <u/>
      <sz val="8"/>
      <color theme="1"/>
      <name val="Arial"/>
      <family val="2"/>
    </font>
    <font>
      <u/>
      <sz val="8"/>
      <color theme="1"/>
      <name val="Arial"/>
      <family val="2"/>
    </font>
    <font>
      <u/>
      <sz val="8"/>
      <color theme="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8"/>
      <name val="Arial"/>
      <family val="2"/>
    </font>
    <font>
      <i/>
      <u/>
      <sz val="8"/>
      <color theme="1"/>
      <name val="Arial"/>
      <family val="2"/>
    </font>
    <font>
      <i/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i/>
      <sz val="8"/>
      <name val="Arial"/>
      <family val="2"/>
    </font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</font>
    <font>
      <sz val="10"/>
      <color rgb="FF000000"/>
      <name val="calibri"/>
      <family val="2"/>
      <scheme val="minor"/>
    </font>
    <font>
      <i/>
      <u/>
      <sz val="10"/>
      <name val="Arial"/>
      <family val="2"/>
    </font>
    <font>
      <i/>
      <sz val="7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i/>
      <sz val="6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8FFD5"/>
        <bgColor rgb="FFF8FFD5"/>
      </patternFill>
    </fill>
    <fill>
      <patternFill patternType="solid">
        <fgColor rgb="FFCCC0D9"/>
        <bgColor rgb="FFCCC0D9"/>
      </patternFill>
    </fill>
    <fill>
      <patternFill patternType="solid">
        <fgColor rgb="FFD8D8D8"/>
        <bgColor rgb="FFD8D8D8"/>
      </patternFill>
    </fill>
    <fill>
      <patternFill patternType="darkGrid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rgb="FFCCC0D9"/>
      </patternFill>
    </fill>
    <fill>
      <patternFill patternType="solid">
        <fgColor theme="9" tint="0.59999389629810485"/>
        <bgColor rgb="FFF8FFD5"/>
      </patternFill>
    </fill>
    <fill>
      <patternFill patternType="solid">
        <fgColor theme="9" tint="0.59999389629810485"/>
        <bgColor rgb="FFF8FFD2"/>
      </patternFill>
    </fill>
    <fill>
      <patternFill patternType="solid">
        <fgColor theme="8" tint="0.59999389629810485"/>
        <bgColor rgb="FFF8FFD2"/>
      </patternFill>
    </fill>
    <fill>
      <patternFill patternType="solid">
        <fgColor theme="8" tint="0.59999389629810485"/>
        <bgColor rgb="FFF8FFD5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1" fillId="0" borderId="0" applyNumberFormat="0" applyFill="0" applyBorder="0" applyAlignment="0" applyProtection="0"/>
    <xf numFmtId="9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7" fillId="0" borderId="29"/>
  </cellStyleXfs>
  <cellXfs count="369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2" fillId="2" borderId="6" xfId="0" applyFont="1" applyFill="1" applyBorder="1"/>
    <xf numFmtId="164" fontId="2" fillId="0" borderId="0" xfId="0" applyNumberFormat="1" applyFont="1"/>
    <xf numFmtId="164" fontId="1" fillId="0" borderId="0" xfId="0" applyNumberFormat="1" applyFont="1"/>
    <xf numFmtId="164" fontId="4" fillId="0" borderId="0" xfId="0" applyNumberFormat="1" applyFont="1"/>
    <xf numFmtId="0" fontId="10" fillId="0" borderId="0" xfId="0" applyFont="1"/>
    <xf numFmtId="0" fontId="12" fillId="0" borderId="0" xfId="0" applyFont="1"/>
    <xf numFmtId="0" fontId="8" fillId="0" borderId="0" xfId="0" applyFont="1" applyAlignment="1">
      <alignment horizontal="center"/>
    </xf>
    <xf numFmtId="0" fontId="13" fillId="0" borderId="0" xfId="0" applyFont="1"/>
    <xf numFmtId="0" fontId="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/>
    <xf numFmtId="0" fontId="14" fillId="0" borderId="0" xfId="0" applyFont="1" applyAlignment="1">
      <alignment horizontal="center"/>
    </xf>
    <xf numFmtId="44" fontId="15" fillId="0" borderId="0" xfId="0" applyNumberFormat="1" applyFont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164" fontId="8" fillId="0" borderId="18" xfId="0" applyNumberFormat="1" applyFont="1" applyBorder="1"/>
    <xf numFmtId="164" fontId="8" fillId="0" borderId="5" xfId="0" applyNumberFormat="1" applyFont="1" applyBorder="1"/>
    <xf numFmtId="44" fontId="8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20" fillId="5" borderId="33" xfId="0" applyFont="1" applyFill="1" applyBorder="1"/>
    <xf numFmtId="0" fontId="7" fillId="0" borderId="0" xfId="1" applyFont="1"/>
    <xf numFmtId="0" fontId="8" fillId="0" borderId="34" xfId="0" applyFont="1" applyBorder="1"/>
    <xf numFmtId="164" fontId="13" fillId="0" borderId="0" xfId="0" applyNumberFormat="1" applyFont="1"/>
    <xf numFmtId="164" fontId="2" fillId="0" borderId="6" xfId="3" applyNumberFormat="1" applyFont="1" applyFill="1" applyBorder="1"/>
    <xf numFmtId="164" fontId="2" fillId="0" borderId="0" xfId="3" applyNumberFormat="1" applyFont="1"/>
    <xf numFmtId="164" fontId="1" fillId="0" borderId="0" xfId="3" applyNumberFormat="1" applyFont="1"/>
    <xf numFmtId="0" fontId="23" fillId="0" borderId="29" xfId="0" applyFont="1" applyBorder="1"/>
    <xf numFmtId="0" fontId="3" fillId="0" borderId="29" xfId="0" applyFont="1" applyBorder="1"/>
    <xf numFmtId="0" fontId="23" fillId="0" borderId="0" xfId="0" applyFont="1"/>
    <xf numFmtId="0" fontId="19" fillId="6" borderId="0" xfId="0" applyFont="1" applyFill="1"/>
    <xf numFmtId="0" fontId="0" fillId="6" borderId="0" xfId="0" applyFill="1"/>
    <xf numFmtId="3" fontId="28" fillId="0" borderId="5" xfId="0" applyNumberFormat="1" applyFont="1" applyBorder="1"/>
    <xf numFmtId="0" fontId="19" fillId="0" borderId="0" xfId="0" applyFont="1"/>
    <xf numFmtId="0" fontId="29" fillId="0" borderId="0" xfId="0" applyFont="1" applyAlignment="1">
      <alignment horizontal="right"/>
    </xf>
    <xf numFmtId="0" fontId="9" fillId="0" borderId="34" xfId="0" applyFont="1" applyBorder="1" applyAlignment="1">
      <alignment horizontal="right"/>
    </xf>
    <xf numFmtId="165" fontId="8" fillId="0" borderId="0" xfId="0" applyNumberFormat="1" applyFont="1"/>
    <xf numFmtId="0" fontId="30" fillId="0" borderId="0" xfId="0" applyFont="1"/>
    <xf numFmtId="164" fontId="30" fillId="0" borderId="0" xfId="0" applyNumberFormat="1" applyFont="1"/>
    <xf numFmtId="0" fontId="31" fillId="0" borderId="0" xfId="0" applyFont="1"/>
    <xf numFmtId="0" fontId="12" fillId="6" borderId="0" xfId="0" applyFont="1" applyFill="1"/>
    <xf numFmtId="0" fontId="23" fillId="5" borderId="33" xfId="0" applyFont="1" applyFill="1" applyBorder="1"/>
    <xf numFmtId="0" fontId="28" fillId="5" borderId="33" xfId="0" applyFont="1" applyFill="1" applyBorder="1"/>
    <xf numFmtId="0" fontId="28" fillId="0" borderId="0" xfId="0" applyFont="1"/>
    <xf numFmtId="164" fontId="8" fillId="0" borderId="29" xfId="0" applyNumberFormat="1" applyFont="1" applyBorder="1"/>
    <xf numFmtId="0" fontId="8" fillId="0" borderId="29" xfId="0" applyFont="1" applyBorder="1" applyAlignment="1">
      <alignment horizontal="center"/>
    </xf>
    <xf numFmtId="0" fontId="34" fillId="0" borderId="0" xfId="0" applyFont="1"/>
    <xf numFmtId="0" fontId="35" fillId="0" borderId="0" xfId="0" applyFont="1"/>
    <xf numFmtId="10" fontId="35" fillId="0" borderId="0" xfId="2" applyNumberFormat="1" applyFont="1"/>
    <xf numFmtId="10" fontId="34" fillId="0" borderId="0" xfId="2" applyNumberFormat="1" applyFont="1"/>
    <xf numFmtId="167" fontId="34" fillId="0" borderId="0" xfId="4" applyNumberFormat="1" applyFont="1"/>
    <xf numFmtId="167" fontId="35" fillId="0" borderId="0" xfId="4" applyNumberFormat="1" applyFont="1"/>
    <xf numFmtId="0" fontId="35" fillId="0" borderId="40" xfId="0" applyFont="1" applyBorder="1"/>
    <xf numFmtId="0" fontId="35" fillId="0" borderId="41" xfId="0" applyFont="1" applyBorder="1"/>
    <xf numFmtId="0" fontId="35" fillId="0" borderId="42" xfId="0" applyFont="1" applyBorder="1"/>
    <xf numFmtId="0" fontId="35" fillId="0" borderId="43" xfId="0" applyFont="1" applyBorder="1"/>
    <xf numFmtId="0" fontId="21" fillId="0" borderId="39" xfId="1" applyBorder="1"/>
    <xf numFmtId="0" fontId="3" fillId="0" borderId="0" xfId="0" applyFont="1"/>
    <xf numFmtId="0" fontId="38" fillId="0" borderId="5" xfId="0" applyFont="1" applyBorder="1"/>
    <xf numFmtId="0" fontId="39" fillId="0" borderId="5" xfId="0" applyFont="1" applyBorder="1" applyAlignment="1">
      <alignment wrapText="1"/>
    </xf>
    <xf numFmtId="0" fontId="28" fillId="3" borderId="1" xfId="0" applyFont="1" applyFill="1" applyBorder="1"/>
    <xf numFmtId="3" fontId="28" fillId="0" borderId="0" xfId="0" applyNumberFormat="1" applyFont="1"/>
    <xf numFmtId="41" fontId="42" fillId="4" borderId="3" xfId="0" applyNumberFormat="1" applyFont="1" applyFill="1" applyBorder="1"/>
    <xf numFmtId="0" fontId="42" fillId="4" borderId="53" xfId="0" applyFont="1" applyFill="1" applyBorder="1" applyAlignment="1">
      <alignment horizontal="left"/>
    </xf>
    <xf numFmtId="0" fontId="28" fillId="0" borderId="29" xfId="0" applyFont="1" applyBorder="1"/>
    <xf numFmtId="0" fontId="2" fillId="0" borderId="0" xfId="0" applyFont="1" applyAlignment="1">
      <alignment horizontal="right"/>
    </xf>
    <xf numFmtId="0" fontId="35" fillId="0" borderId="40" xfId="0" applyFont="1" applyBorder="1" applyAlignment="1">
      <alignment horizontal="right"/>
    </xf>
    <xf numFmtId="0" fontId="35" fillId="0" borderId="29" xfId="0" applyFont="1" applyBorder="1"/>
    <xf numFmtId="0" fontId="35" fillId="0" borderId="59" xfId="0" applyFont="1" applyBorder="1"/>
    <xf numFmtId="0" fontId="34" fillId="0" borderId="38" xfId="0" applyFont="1" applyBorder="1" applyAlignment="1">
      <alignment horizontal="center"/>
    </xf>
    <xf numFmtId="10" fontId="2" fillId="0" borderId="0" xfId="0" applyNumberFormat="1" applyFont="1"/>
    <xf numFmtId="168" fontId="2" fillId="0" borderId="0" xfId="0" applyNumberFormat="1" applyFont="1"/>
    <xf numFmtId="41" fontId="8" fillId="0" borderId="29" xfId="0" applyNumberFormat="1" applyFont="1" applyBorder="1" applyAlignment="1">
      <alignment horizontal="center"/>
    </xf>
    <xf numFmtId="0" fontId="2" fillId="0" borderId="0" xfId="0" applyFont="1" applyAlignment="1">
      <alignment vertical="top"/>
    </xf>
    <xf numFmtId="0" fontId="2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right"/>
    </xf>
    <xf numFmtId="41" fontId="2" fillId="2" borderId="41" xfId="0" applyNumberFormat="1" applyFont="1" applyFill="1" applyBorder="1" applyAlignment="1">
      <alignment horizontal="center"/>
    </xf>
    <xf numFmtId="0" fontId="2" fillId="0" borderId="40" xfId="0" applyFont="1" applyBorder="1" applyAlignment="1">
      <alignment vertical="top"/>
    </xf>
    <xf numFmtId="41" fontId="19" fillId="0" borderId="41" xfId="0" applyNumberFormat="1" applyFont="1" applyBorder="1"/>
    <xf numFmtId="0" fontId="2" fillId="0" borderId="42" xfId="0" applyFont="1" applyBorder="1" applyAlignment="1">
      <alignment vertical="top"/>
    </xf>
    <xf numFmtId="0" fontId="21" fillId="0" borderId="43" xfId="1" applyBorder="1"/>
    <xf numFmtId="0" fontId="28" fillId="0" borderId="3" xfId="0" applyFont="1" applyBorder="1" applyAlignment="1">
      <alignment horizontal="left"/>
    </xf>
    <xf numFmtId="3" fontId="28" fillId="0" borderId="29" xfId="0" applyNumberFormat="1" applyFont="1" applyBorder="1" applyAlignment="1">
      <alignment horizontal="right"/>
    </xf>
    <xf numFmtId="3" fontId="23" fillId="0" borderId="5" xfId="0" applyNumberFormat="1" applyFont="1" applyBorder="1"/>
    <xf numFmtId="3" fontId="23" fillId="0" borderId="16" xfId="0" applyNumberFormat="1" applyFont="1" applyBorder="1"/>
    <xf numFmtId="3" fontId="23" fillId="0" borderId="12" xfId="0" applyNumberFormat="1" applyFont="1" applyBorder="1"/>
    <xf numFmtId="0" fontId="28" fillId="0" borderId="29" xfId="0" applyFont="1" applyBorder="1" applyAlignment="1">
      <alignment horizontal="right"/>
    </xf>
    <xf numFmtId="3" fontId="23" fillId="0" borderId="30" xfId="0" applyNumberFormat="1" applyFont="1" applyBorder="1" applyAlignment="1">
      <alignment horizontal="right"/>
    </xf>
    <xf numFmtId="0" fontId="28" fillId="0" borderId="6" xfId="0" applyFont="1" applyBorder="1" applyAlignment="1">
      <alignment horizontal="right"/>
    </xf>
    <xf numFmtId="168" fontId="2" fillId="0" borderId="61" xfId="0" applyNumberFormat="1" applyFont="1" applyBorder="1"/>
    <xf numFmtId="0" fontId="2" fillId="0" borderId="62" xfId="0" applyFont="1" applyBorder="1"/>
    <xf numFmtId="3" fontId="28" fillId="0" borderId="6" xfId="0" applyNumberFormat="1" applyFont="1" applyBorder="1"/>
    <xf numFmtId="2" fontId="13" fillId="0" borderId="3" xfId="0" applyNumberFormat="1" applyFont="1" applyBorder="1" applyAlignment="1">
      <alignment horizontal="center"/>
    </xf>
    <xf numFmtId="10" fontId="8" fillId="0" borderId="53" xfId="0" applyNumberFormat="1" applyFont="1" applyBorder="1" applyAlignment="1">
      <alignment horizontal="center"/>
    </xf>
    <xf numFmtId="0" fontId="0" fillId="0" borderId="29" xfId="0" applyBorder="1"/>
    <xf numFmtId="0" fontId="23" fillId="5" borderId="47" xfId="0" applyFont="1" applyFill="1" applyBorder="1"/>
    <xf numFmtId="0" fontId="23" fillId="5" borderId="48" xfId="0" applyFont="1" applyFill="1" applyBorder="1"/>
    <xf numFmtId="0" fontId="20" fillId="0" borderId="5" xfId="0" applyFont="1" applyBorder="1"/>
    <xf numFmtId="0" fontId="28" fillId="0" borderId="5" xfId="0" applyFont="1" applyBorder="1"/>
    <xf numFmtId="0" fontId="23" fillId="0" borderId="12" xfId="0" applyFont="1" applyBorder="1"/>
    <xf numFmtId="0" fontId="40" fillId="0" borderId="32" xfId="0" applyFont="1" applyBorder="1" applyAlignment="1">
      <alignment horizontal="center"/>
    </xf>
    <xf numFmtId="0" fontId="23" fillId="0" borderId="51" xfId="0" applyFont="1" applyBorder="1"/>
    <xf numFmtId="0" fontId="23" fillId="0" borderId="0" xfId="0" applyFont="1" applyAlignment="1">
      <alignment horizontal="center"/>
    </xf>
    <xf numFmtId="0" fontId="23" fillId="0" borderId="41" xfId="0" applyFont="1" applyBorder="1" applyAlignment="1">
      <alignment horizontal="center"/>
    </xf>
    <xf numFmtId="0" fontId="3" fillId="0" borderId="4" xfId="0" applyFont="1" applyBorder="1"/>
    <xf numFmtId="14" fontId="20" fillId="0" borderId="13" xfId="0" applyNumberFormat="1" applyFont="1" applyBorder="1"/>
    <xf numFmtId="0" fontId="40" fillId="0" borderId="5" xfId="0" applyFont="1" applyBorder="1"/>
    <xf numFmtId="0" fontId="40" fillId="0" borderId="5" xfId="0" applyFont="1" applyBorder="1" applyAlignment="1">
      <alignment horizontal="right"/>
    </xf>
    <xf numFmtId="0" fontId="28" fillId="0" borderId="6" xfId="0" applyFont="1" applyBorder="1" applyAlignment="1">
      <alignment horizontal="center" wrapText="1"/>
    </xf>
    <xf numFmtId="0" fontId="28" fillId="0" borderId="5" xfId="0" applyFont="1" applyBorder="1" applyAlignment="1">
      <alignment horizontal="right" wrapText="1"/>
    </xf>
    <xf numFmtId="0" fontId="40" fillId="0" borderId="13" xfId="0" applyFont="1" applyBorder="1" applyAlignment="1">
      <alignment horizontal="right" wrapText="1"/>
    </xf>
    <xf numFmtId="10" fontId="28" fillId="0" borderId="6" xfId="2" applyNumberFormat="1" applyFont="1" applyFill="1" applyBorder="1" applyAlignment="1">
      <alignment horizontal="right"/>
    </xf>
    <xf numFmtId="3" fontId="28" fillId="0" borderId="13" xfId="0" applyNumberFormat="1" applyFont="1" applyBorder="1"/>
    <xf numFmtId="0" fontId="23" fillId="0" borderId="3" xfId="0" applyFont="1" applyBorder="1"/>
    <xf numFmtId="0" fontId="23" fillId="0" borderId="14" xfId="0" applyFont="1" applyBorder="1"/>
    <xf numFmtId="0" fontId="23" fillId="0" borderId="16" xfId="0" applyFont="1" applyBorder="1"/>
    <xf numFmtId="165" fontId="28" fillId="0" borderId="16" xfId="0" applyNumberFormat="1" applyFont="1" applyBorder="1" applyAlignment="1">
      <alignment horizontal="center"/>
    </xf>
    <xf numFmtId="3" fontId="28" fillId="0" borderId="16" xfId="0" applyNumberFormat="1" applyFont="1" applyBorder="1"/>
    <xf numFmtId="3" fontId="23" fillId="0" borderId="17" xfId="0" applyNumberFormat="1" applyFont="1" applyBorder="1"/>
    <xf numFmtId="0" fontId="23" fillId="0" borderId="4" xfId="0" applyFont="1" applyBorder="1"/>
    <xf numFmtId="3" fontId="40" fillId="0" borderId="13" xfId="0" applyNumberFormat="1" applyFont="1" applyBorder="1"/>
    <xf numFmtId="0" fontId="23" fillId="0" borderId="19" xfId="0" applyFont="1" applyBorder="1"/>
    <xf numFmtId="0" fontId="23" fillId="0" borderId="20" xfId="0" applyFont="1" applyBorder="1"/>
    <xf numFmtId="0" fontId="32" fillId="0" borderId="6" xfId="0" applyFont="1" applyBorder="1" applyAlignment="1">
      <alignment horizontal="right"/>
    </xf>
    <xf numFmtId="0" fontId="40" fillId="0" borderId="0" xfId="0" applyFont="1"/>
    <xf numFmtId="3" fontId="40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3" fontId="23" fillId="0" borderId="0" xfId="0" applyNumberFormat="1" applyFont="1" applyAlignment="1">
      <alignment horizontal="right"/>
    </xf>
    <xf numFmtId="3" fontId="28" fillId="0" borderId="6" xfId="0" applyNumberFormat="1" applyFont="1" applyBorder="1" applyAlignment="1">
      <alignment horizontal="right"/>
    </xf>
    <xf numFmtId="0" fontId="40" fillId="0" borderId="20" xfId="0" applyFont="1" applyBorder="1"/>
    <xf numFmtId="0" fontId="23" fillId="0" borderId="50" xfId="0" applyFont="1" applyBorder="1"/>
    <xf numFmtId="0" fontId="23" fillId="0" borderId="36" xfId="0" applyFont="1" applyBorder="1"/>
    <xf numFmtId="3" fontId="23" fillId="0" borderId="36" xfId="0" applyNumberFormat="1" applyFont="1" applyBorder="1"/>
    <xf numFmtId="0" fontId="40" fillId="0" borderId="29" xfId="0" applyFont="1" applyBorder="1"/>
    <xf numFmtId="0" fontId="28" fillId="0" borderId="5" xfId="0" applyFont="1" applyBorder="1" applyAlignment="1">
      <alignment horizontal="left"/>
    </xf>
    <xf numFmtId="0" fontId="23" fillId="0" borderId="6" xfId="0" applyFont="1" applyBorder="1"/>
    <xf numFmtId="3" fontId="23" fillId="0" borderId="21" xfId="0" applyNumberFormat="1" applyFont="1" applyBorder="1"/>
    <xf numFmtId="3" fontId="28" fillId="0" borderId="51" xfId="0" applyNumberFormat="1" applyFont="1" applyBorder="1" applyAlignment="1">
      <alignment horizontal="right"/>
    </xf>
    <xf numFmtId="0" fontId="23" fillId="0" borderId="56" xfId="0" applyFont="1" applyBorder="1"/>
    <xf numFmtId="0" fontId="28" fillId="0" borderId="20" xfId="0" applyFont="1" applyBorder="1"/>
    <xf numFmtId="0" fontId="28" fillId="0" borderId="19" xfId="0" applyFont="1" applyBorder="1" applyAlignment="1">
      <alignment horizontal="left"/>
    </xf>
    <xf numFmtId="3" fontId="28" fillId="0" borderId="29" xfId="0" applyNumberFormat="1" applyFont="1" applyBorder="1"/>
    <xf numFmtId="0" fontId="28" fillId="0" borderId="24" xfId="0" applyFont="1" applyBorder="1"/>
    <xf numFmtId="3" fontId="23" fillId="0" borderId="13" xfId="0" applyNumberFormat="1" applyFont="1" applyBorder="1"/>
    <xf numFmtId="10" fontId="23" fillId="0" borderId="5" xfId="0" applyNumberFormat="1" applyFont="1" applyBorder="1" applyAlignment="1">
      <alignment horizontal="center"/>
    </xf>
    <xf numFmtId="0" fontId="3" fillId="0" borderId="64" xfId="0" applyFont="1" applyBorder="1"/>
    <xf numFmtId="0" fontId="3" fillId="0" borderId="25" xfId="0" applyFont="1" applyBorder="1"/>
    <xf numFmtId="0" fontId="3" fillId="0" borderId="23" xfId="0" applyFont="1" applyBorder="1"/>
    <xf numFmtId="0" fontId="20" fillId="0" borderId="12" xfId="0" applyFont="1" applyBorder="1"/>
    <xf numFmtId="3" fontId="28" fillId="0" borderId="15" xfId="0" applyNumberFormat="1" applyFont="1" applyBorder="1"/>
    <xf numFmtId="0" fontId="28" fillId="0" borderId="31" xfId="0" applyFont="1" applyBorder="1" applyAlignment="1">
      <alignment horizontal="left"/>
    </xf>
    <xf numFmtId="3" fontId="23" fillId="0" borderId="34" xfId="0" applyNumberFormat="1" applyFont="1" applyBorder="1" applyAlignment="1">
      <alignment horizontal="right"/>
    </xf>
    <xf numFmtId="0" fontId="40" fillId="0" borderId="60" xfId="0" applyFont="1" applyBorder="1"/>
    <xf numFmtId="3" fontId="23" fillId="0" borderId="32" xfId="0" applyNumberFormat="1" applyFont="1" applyBorder="1"/>
    <xf numFmtId="3" fontId="28" fillId="0" borderId="21" xfId="0" applyNumberFormat="1" applyFont="1" applyBorder="1"/>
    <xf numFmtId="0" fontId="28" fillId="0" borderId="21" xfId="0" applyFont="1" applyBorder="1"/>
    <xf numFmtId="0" fontId="28" fillId="0" borderId="15" xfId="0" applyFont="1" applyBorder="1"/>
    <xf numFmtId="0" fontId="28" fillId="0" borderId="16" xfId="0" applyFont="1" applyBorder="1"/>
    <xf numFmtId="0" fontId="23" fillId="0" borderId="5" xfId="0" applyFont="1" applyBorder="1"/>
    <xf numFmtId="0" fontId="28" fillId="8" borderId="5" xfId="0" applyFont="1" applyFill="1" applyBorder="1" applyAlignment="1">
      <alignment horizontal="center"/>
    </xf>
    <xf numFmtId="0" fontId="32" fillId="9" borderId="5" xfId="0" applyFont="1" applyFill="1" applyBorder="1"/>
    <xf numFmtId="0" fontId="32" fillId="9" borderId="5" xfId="0" applyFont="1" applyFill="1" applyBorder="1" applyAlignment="1">
      <alignment horizontal="center" wrapText="1"/>
    </xf>
    <xf numFmtId="0" fontId="40" fillId="9" borderId="3" xfId="0" applyFont="1" applyFill="1" applyBorder="1" applyAlignment="1">
      <alignment horizontal="center" wrapText="1"/>
    </xf>
    <xf numFmtId="0" fontId="40" fillId="9" borderId="5" xfId="0" applyFont="1" applyFill="1" applyBorder="1"/>
    <xf numFmtId="0" fontId="28" fillId="7" borderId="3" xfId="0" applyFont="1" applyFill="1" applyBorder="1"/>
    <xf numFmtId="0" fontId="23" fillId="7" borderId="2" xfId="0" applyFont="1" applyFill="1" applyBorder="1"/>
    <xf numFmtId="3" fontId="41" fillId="7" borderId="5" xfId="0" applyNumberFormat="1" applyFont="1" applyFill="1" applyBorder="1"/>
    <xf numFmtId="3" fontId="41" fillId="7" borderId="13" xfId="0" applyNumberFormat="1" applyFont="1" applyFill="1" applyBorder="1"/>
    <xf numFmtId="0" fontId="28" fillId="7" borderId="1" xfId="0" applyFont="1" applyFill="1" applyBorder="1"/>
    <xf numFmtId="0" fontId="28" fillId="8" borderId="5" xfId="0" applyFont="1" applyFill="1" applyBorder="1"/>
    <xf numFmtId="0" fontId="28" fillId="10" borderId="5" xfId="0" applyFont="1" applyFill="1" applyBorder="1"/>
    <xf numFmtId="2" fontId="28" fillId="10" borderId="5" xfId="0" applyNumberFormat="1" applyFont="1" applyFill="1" applyBorder="1" applyAlignment="1">
      <alignment horizontal="center"/>
    </xf>
    <xf numFmtId="3" fontId="28" fillId="10" borderId="5" xfId="0" applyNumberFormat="1" applyFont="1" applyFill="1" applyBorder="1"/>
    <xf numFmtId="3" fontId="41" fillId="11" borderId="5" xfId="0" applyNumberFormat="1" applyFont="1" applyFill="1" applyBorder="1"/>
    <xf numFmtId="0" fontId="23" fillId="0" borderId="30" xfId="0" applyFont="1" applyBorder="1"/>
    <xf numFmtId="0" fontId="28" fillId="10" borderId="5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0" fontId="28" fillId="10" borderId="22" xfId="0" applyFont="1" applyFill="1" applyBorder="1"/>
    <xf numFmtId="0" fontId="28" fillId="10" borderId="3" xfId="0" applyFont="1" applyFill="1" applyBorder="1" applyAlignment="1">
      <alignment horizontal="center"/>
    </xf>
    <xf numFmtId="0" fontId="28" fillId="10" borderId="12" xfId="0" applyFont="1" applyFill="1" applyBorder="1" applyAlignment="1">
      <alignment horizontal="center"/>
    </xf>
    <xf numFmtId="3" fontId="28" fillId="10" borderId="22" xfId="0" applyNumberFormat="1" applyFont="1" applyFill="1" applyBorder="1"/>
    <xf numFmtId="0" fontId="28" fillId="10" borderId="22" xfId="0" applyFont="1" applyFill="1" applyBorder="1" applyAlignment="1">
      <alignment horizontal="center"/>
    </xf>
    <xf numFmtId="0" fontId="28" fillId="10" borderId="65" xfId="0" applyFont="1" applyFill="1" applyBorder="1" applyAlignment="1">
      <alignment horizontal="center"/>
    </xf>
    <xf numFmtId="0" fontId="23" fillId="9" borderId="4" xfId="0" applyFont="1" applyFill="1" applyBorder="1"/>
    <xf numFmtId="3" fontId="23" fillId="9" borderId="5" xfId="0" applyNumberFormat="1" applyFont="1" applyFill="1" applyBorder="1"/>
    <xf numFmtId="3" fontId="40" fillId="9" borderId="13" xfId="0" applyNumberFormat="1" applyFont="1" applyFill="1" applyBorder="1"/>
    <xf numFmtId="3" fontId="23" fillId="10" borderId="5" xfId="0" applyNumberFormat="1" applyFont="1" applyFill="1" applyBorder="1"/>
    <xf numFmtId="3" fontId="23" fillId="10" borderId="44" xfId="0" applyNumberFormat="1" applyFont="1" applyFill="1" applyBorder="1"/>
    <xf numFmtId="4" fontId="28" fillId="10" borderId="24" xfId="0" applyNumberFormat="1" applyFont="1" applyFill="1" applyBorder="1" applyAlignment="1">
      <alignment horizontal="center"/>
    </xf>
    <xf numFmtId="3" fontId="23" fillId="9" borderId="57" xfId="0" applyNumberFormat="1" applyFont="1" applyFill="1" applyBorder="1"/>
    <xf numFmtId="0" fontId="40" fillId="9" borderId="54" xfId="0" applyFont="1" applyFill="1" applyBorder="1" applyAlignment="1">
      <alignment horizontal="left"/>
    </xf>
    <xf numFmtId="0" fontId="40" fillId="9" borderId="21" xfId="0" applyFont="1" applyFill="1" applyBorder="1"/>
    <xf numFmtId="0" fontId="43" fillId="9" borderId="63" xfId="0" applyFont="1" applyFill="1" applyBorder="1" applyAlignment="1">
      <alignment horizontal="left"/>
    </xf>
    <xf numFmtId="3" fontId="43" fillId="9" borderId="26" xfId="0" applyNumberFormat="1" applyFont="1" applyFill="1" applyBorder="1"/>
    <xf numFmtId="2" fontId="23" fillId="8" borderId="32" xfId="0" applyNumberFormat="1" applyFont="1" applyFill="1" applyBorder="1" applyAlignment="1">
      <alignment horizontal="center"/>
    </xf>
    <xf numFmtId="3" fontId="28" fillId="8" borderId="22" xfId="0" applyNumberFormat="1" applyFont="1" applyFill="1" applyBorder="1" applyAlignment="1">
      <alignment horizontal="center"/>
    </xf>
    <xf numFmtId="3" fontId="23" fillId="8" borderId="5" xfId="0" applyNumberFormat="1" applyFont="1" applyFill="1" applyBorder="1" applyAlignment="1">
      <alignment horizontal="right"/>
    </xf>
    <xf numFmtId="3" fontId="28" fillId="8" borderId="6" xfId="0" applyNumberFormat="1" applyFont="1" applyFill="1" applyBorder="1"/>
    <xf numFmtId="3" fontId="23" fillId="7" borderId="5" xfId="0" applyNumberFormat="1" applyFont="1" applyFill="1" applyBorder="1"/>
    <xf numFmtId="0" fontId="28" fillId="9" borderId="3" xfId="0" applyFont="1" applyFill="1" applyBorder="1" applyAlignment="1">
      <alignment horizontal="left"/>
    </xf>
    <xf numFmtId="0" fontId="23" fillId="9" borderId="12" xfId="0" applyFont="1" applyFill="1" applyBorder="1"/>
    <xf numFmtId="3" fontId="28" fillId="9" borderId="32" xfId="0" applyNumberFormat="1" applyFont="1" applyFill="1" applyBorder="1" applyAlignment="1">
      <alignment horizontal="right"/>
    </xf>
    <xf numFmtId="0" fontId="28" fillId="9" borderId="32" xfId="0" applyFont="1" applyFill="1" applyBorder="1" applyAlignment="1">
      <alignment horizontal="right"/>
    </xf>
    <xf numFmtId="3" fontId="23" fillId="9" borderId="32" xfId="0" applyNumberFormat="1" applyFont="1" applyFill="1" applyBorder="1"/>
    <xf numFmtId="0" fontId="40" fillId="9" borderId="32" xfId="0" applyFont="1" applyFill="1" applyBorder="1" applyAlignment="1">
      <alignment horizontal="left"/>
    </xf>
    <xf numFmtId="3" fontId="28" fillId="10" borderId="21" xfId="0" applyNumberFormat="1" applyFont="1" applyFill="1" applyBorder="1"/>
    <xf numFmtId="0" fontId="28" fillId="8" borderId="4" xfId="0" applyFont="1" applyFill="1" applyBorder="1" applyAlignment="1">
      <alignment horizontal="center"/>
    </xf>
    <xf numFmtId="3" fontId="23" fillId="8" borderId="32" xfId="0" applyNumberFormat="1" applyFont="1" applyFill="1" applyBorder="1" applyAlignment="1">
      <alignment horizontal="right"/>
    </xf>
    <xf numFmtId="2" fontId="28" fillId="10" borderId="32" xfId="0" applyNumberFormat="1" applyFont="1" applyFill="1" applyBorder="1" applyAlignment="1">
      <alignment horizontal="center"/>
    </xf>
    <xf numFmtId="3" fontId="28" fillId="9" borderId="5" xfId="0" applyNumberFormat="1" applyFont="1" applyFill="1" applyBorder="1" applyAlignment="1">
      <alignment horizontal="right"/>
    </xf>
    <xf numFmtId="0" fontId="28" fillId="9" borderId="5" xfId="0" applyFont="1" applyFill="1" applyBorder="1" applyAlignment="1">
      <alignment horizontal="right"/>
    </xf>
    <xf numFmtId="0" fontId="28" fillId="9" borderId="3" xfId="0" applyFont="1" applyFill="1" applyBorder="1" applyAlignment="1">
      <alignment horizontal="right"/>
    </xf>
    <xf numFmtId="3" fontId="23" fillId="9" borderId="4" xfId="0" applyNumberFormat="1" applyFont="1" applyFill="1" applyBorder="1"/>
    <xf numFmtId="0" fontId="28" fillId="10" borderId="32" xfId="0" applyFont="1" applyFill="1" applyBorder="1"/>
    <xf numFmtId="3" fontId="23" fillId="7" borderId="2" xfId="0" applyNumberFormat="1" applyFont="1" applyFill="1" applyBorder="1"/>
    <xf numFmtId="3" fontId="40" fillId="9" borderId="5" xfId="0" applyNumberFormat="1" applyFont="1" applyFill="1" applyBorder="1"/>
    <xf numFmtId="3" fontId="43" fillId="9" borderId="27" xfId="0" applyNumberFormat="1" applyFont="1" applyFill="1" applyBorder="1"/>
    <xf numFmtId="41" fontId="42" fillId="4" borderId="53" xfId="0" applyNumberFormat="1" applyFont="1" applyFill="1" applyBorder="1"/>
    <xf numFmtId="0" fontId="40" fillId="0" borderId="19" xfId="0" applyFont="1" applyBorder="1" applyAlignment="1">
      <alignment horizontal="left"/>
    </xf>
    <xf numFmtId="3" fontId="23" fillId="0" borderId="29" xfId="0" applyNumberFormat="1" applyFont="1" applyBorder="1"/>
    <xf numFmtId="3" fontId="40" fillId="0" borderId="20" xfId="0" applyNumberFormat="1" applyFont="1" applyBorder="1"/>
    <xf numFmtId="3" fontId="40" fillId="0" borderId="29" xfId="0" applyNumberFormat="1" applyFont="1" applyBorder="1"/>
    <xf numFmtId="0" fontId="11" fillId="12" borderId="12" xfId="0" applyFont="1" applyFill="1" applyBorder="1" applyAlignment="1">
      <alignment horizontal="center"/>
    </xf>
    <xf numFmtId="0" fontId="11" fillId="12" borderId="3" xfId="0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2" fontId="8" fillId="13" borderId="1" xfId="0" applyNumberFormat="1" applyFont="1" applyFill="1" applyBorder="1" applyAlignment="1">
      <alignment horizontal="center"/>
    </xf>
    <xf numFmtId="2" fontId="8" fillId="13" borderId="31" xfId="0" applyNumberFormat="1" applyFont="1" applyFill="1" applyBorder="1" applyAlignment="1">
      <alignment horizontal="center"/>
    </xf>
    <xf numFmtId="2" fontId="8" fillId="13" borderId="3" xfId="0" applyNumberFormat="1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166" fontId="11" fillId="0" borderId="3" xfId="0" applyNumberFormat="1" applyFont="1" applyBorder="1" applyAlignment="1">
      <alignment horizontal="center"/>
    </xf>
    <xf numFmtId="3" fontId="11" fillId="0" borderId="45" xfId="0" applyNumberFormat="1" applyFont="1" applyBorder="1" applyAlignment="1">
      <alignment horizontal="center"/>
    </xf>
    <xf numFmtId="166" fontId="11" fillId="0" borderId="46" xfId="0" applyNumberFormat="1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0" fontId="9" fillId="13" borderId="3" xfId="0" applyFont="1" applyFill="1" applyBorder="1" applyAlignment="1">
      <alignment horizontal="center"/>
    </xf>
    <xf numFmtId="2" fontId="8" fillId="13" borderId="12" xfId="0" applyNumberFormat="1" applyFont="1" applyFill="1" applyBorder="1" applyAlignment="1">
      <alignment horizontal="center"/>
    </xf>
    <xf numFmtId="164" fontId="8" fillId="14" borderId="6" xfId="0" applyNumberFormat="1" applyFont="1" applyFill="1" applyBorder="1" applyAlignment="1">
      <alignment horizontal="center"/>
    </xf>
    <xf numFmtId="0" fontId="8" fillId="14" borderId="6" xfId="0" applyFont="1" applyFill="1" applyBorder="1" applyAlignment="1">
      <alignment horizontal="center"/>
    </xf>
    <xf numFmtId="44" fontId="8" fillId="14" borderId="6" xfId="0" applyNumberFormat="1" applyFont="1" applyFill="1" applyBorder="1" applyAlignment="1">
      <alignment horizontal="center"/>
    </xf>
    <xf numFmtId="164" fontId="17" fillId="14" borderId="6" xfId="0" applyNumberFormat="1" applyFont="1" applyFill="1" applyBorder="1" applyAlignment="1">
      <alignment horizontal="center"/>
    </xf>
    <xf numFmtId="0" fontId="18" fillId="14" borderId="6" xfId="0" applyFont="1" applyFill="1" applyBorder="1" applyAlignment="1">
      <alignment horizontal="center"/>
    </xf>
    <xf numFmtId="0" fontId="8" fillId="15" borderId="6" xfId="0" applyFont="1" applyFill="1" applyBorder="1"/>
    <xf numFmtId="0" fontId="8" fillId="16" borderId="28" xfId="0" applyFont="1" applyFill="1" applyBorder="1"/>
    <xf numFmtId="9" fontId="8" fillId="14" borderId="6" xfId="0" applyNumberFormat="1" applyFont="1" applyFill="1" applyBorder="1" applyAlignment="1">
      <alignment horizontal="center"/>
    </xf>
    <xf numFmtId="164" fontId="8" fillId="14" borderId="30" xfId="0" applyNumberFormat="1" applyFont="1" applyFill="1" applyBorder="1" applyAlignment="1">
      <alignment horizontal="center"/>
    </xf>
    <xf numFmtId="164" fontId="8" fillId="13" borderId="6" xfId="0" applyNumberFormat="1" applyFont="1" applyFill="1" applyBorder="1"/>
    <xf numFmtId="0" fontId="8" fillId="13" borderId="6" xfId="0" applyFont="1" applyFill="1" applyBorder="1"/>
    <xf numFmtId="0" fontId="35" fillId="9" borderId="0" xfId="0" applyFont="1" applyFill="1"/>
    <xf numFmtId="10" fontId="35" fillId="9" borderId="0" xfId="2" applyNumberFormat="1" applyFont="1" applyFill="1"/>
    <xf numFmtId="167" fontId="35" fillId="9" borderId="0" xfId="4" applyNumberFormat="1" applyFont="1" applyFill="1"/>
    <xf numFmtId="0" fontId="28" fillId="9" borderId="67" xfId="0" applyFont="1" applyFill="1" applyBorder="1" applyAlignment="1">
      <alignment horizontal="left"/>
    </xf>
    <xf numFmtId="0" fontId="23" fillId="9" borderId="68" xfId="0" applyFont="1" applyFill="1" applyBorder="1"/>
    <xf numFmtId="3" fontId="28" fillId="9" borderId="66" xfId="0" applyNumberFormat="1" applyFont="1" applyFill="1" applyBorder="1" applyAlignment="1">
      <alignment horizontal="right"/>
    </xf>
    <xf numFmtId="0" fontId="28" fillId="0" borderId="44" xfId="0" applyFont="1" applyBorder="1" applyAlignment="1">
      <alignment horizontal="left"/>
    </xf>
    <xf numFmtId="4" fontId="28" fillId="10" borderId="44" xfId="0" applyNumberFormat="1" applyFont="1" applyFill="1" applyBorder="1" applyAlignment="1">
      <alignment horizontal="center"/>
    </xf>
    <xf numFmtId="3" fontId="23" fillId="8" borderId="69" xfId="0" applyNumberFormat="1" applyFont="1" applyFill="1" applyBorder="1" applyAlignment="1">
      <alignment horizontal="right"/>
    </xf>
    <xf numFmtId="0" fontId="28" fillId="0" borderId="69" xfId="0" applyFont="1" applyBorder="1" applyAlignment="1">
      <alignment horizontal="left"/>
    </xf>
    <xf numFmtId="0" fontId="28" fillId="9" borderId="66" xfId="0" applyFont="1" applyFill="1" applyBorder="1" applyAlignment="1">
      <alignment horizontal="right"/>
    </xf>
    <xf numFmtId="0" fontId="28" fillId="9" borderId="68" xfId="0" applyFont="1" applyFill="1" applyBorder="1" applyAlignment="1">
      <alignment horizontal="right"/>
    </xf>
    <xf numFmtId="3" fontId="28" fillId="8" borderId="70" xfId="0" applyNumberFormat="1" applyFont="1" applyFill="1" applyBorder="1" applyAlignment="1">
      <alignment horizontal="center"/>
    </xf>
    <xf numFmtId="2" fontId="28" fillId="10" borderId="44" xfId="0" applyNumberFormat="1" applyFont="1" applyFill="1" applyBorder="1" applyAlignment="1">
      <alignment horizontal="center"/>
    </xf>
    <xf numFmtId="3" fontId="23" fillId="8" borderId="44" xfId="0" applyNumberFormat="1" applyFont="1" applyFill="1" applyBorder="1" applyAlignment="1">
      <alignment horizontal="right"/>
    </xf>
    <xf numFmtId="0" fontId="3" fillId="0" borderId="12" xfId="0" applyFont="1" applyBorder="1"/>
    <xf numFmtId="0" fontId="40" fillId="0" borderId="5" xfId="0" applyFont="1" applyBorder="1" applyAlignment="1">
      <alignment horizontal="center" wrapText="1"/>
    </xf>
    <xf numFmtId="3" fontId="28" fillId="8" borderId="29" xfId="0" applyNumberFormat="1" applyFont="1" applyFill="1" applyBorder="1"/>
    <xf numFmtId="3" fontId="28" fillId="0" borderId="3" xfId="0" applyNumberFormat="1" applyFont="1" applyBorder="1"/>
    <xf numFmtId="3" fontId="28" fillId="0" borderId="12" xfId="0" applyNumberFormat="1" applyFont="1" applyBorder="1"/>
    <xf numFmtId="3" fontId="23" fillId="0" borderId="3" xfId="0" applyNumberFormat="1" applyFont="1" applyBorder="1"/>
    <xf numFmtId="3" fontId="28" fillId="0" borderId="4" xfId="0" applyNumberFormat="1" applyFont="1" applyBorder="1"/>
    <xf numFmtId="0" fontId="11" fillId="0" borderId="29" xfId="0" applyFont="1" applyBorder="1" applyAlignment="1">
      <alignment horizontal="right"/>
    </xf>
    <xf numFmtId="3" fontId="13" fillId="0" borderId="32" xfId="0" applyNumberFormat="1" applyFont="1" applyBorder="1"/>
    <xf numFmtId="9" fontId="13" fillId="0" borderId="32" xfId="0" applyNumberFormat="1" applyFont="1" applyBorder="1"/>
    <xf numFmtId="0" fontId="0" fillId="0" borderId="71" xfId="0" applyBorder="1"/>
    <xf numFmtId="3" fontId="13" fillId="0" borderId="75" xfId="0" applyNumberFormat="1" applyFont="1" applyBorder="1"/>
    <xf numFmtId="9" fontId="13" fillId="0" borderId="75" xfId="0" applyNumberFormat="1" applyFont="1" applyBorder="1"/>
    <xf numFmtId="3" fontId="13" fillId="0" borderId="77" xfId="0" applyNumberFormat="1" applyFont="1" applyBorder="1"/>
    <xf numFmtId="3" fontId="13" fillId="0" borderId="78" xfId="0" applyNumberFormat="1" applyFont="1" applyBorder="1"/>
    <xf numFmtId="0" fontId="8" fillId="10" borderId="74" xfId="0" applyFont="1" applyFill="1" applyBorder="1" applyAlignment="1">
      <alignment horizontal="left"/>
    </xf>
    <xf numFmtId="0" fontId="13" fillId="10" borderId="74" xfId="0" applyFont="1" applyFill="1" applyBorder="1" applyAlignment="1">
      <alignment horizontal="left"/>
    </xf>
    <xf numFmtId="0" fontId="13" fillId="10" borderId="76" xfId="0" applyFont="1" applyFill="1" applyBorder="1" applyAlignment="1">
      <alignment horizontal="left"/>
    </xf>
    <xf numFmtId="0" fontId="13" fillId="7" borderId="72" xfId="0" applyFont="1" applyFill="1" applyBorder="1"/>
    <xf numFmtId="0" fontId="13" fillId="7" borderId="73" xfId="0" applyFont="1" applyFill="1" applyBorder="1"/>
    <xf numFmtId="0" fontId="44" fillId="0" borderId="59" xfId="0" applyFont="1" applyBorder="1"/>
    <xf numFmtId="0" fontId="23" fillId="5" borderId="29" xfId="0" applyFont="1" applyFill="1" applyBorder="1"/>
    <xf numFmtId="0" fontId="13" fillId="0" borderId="29" xfId="0" applyFont="1" applyBorder="1"/>
    <xf numFmtId="0" fontId="13" fillId="0" borderId="41" xfId="0" applyFont="1" applyBorder="1"/>
    <xf numFmtId="44" fontId="13" fillId="10" borderId="29" xfId="3" applyFont="1" applyFill="1" applyBorder="1"/>
    <xf numFmtId="0" fontId="13" fillId="10" borderId="29" xfId="0" applyFont="1" applyFill="1" applyBorder="1"/>
    <xf numFmtId="0" fontId="44" fillId="0" borderId="41" xfId="0" applyFont="1" applyBorder="1"/>
    <xf numFmtId="0" fontId="23" fillId="5" borderId="41" xfId="0" applyFont="1" applyFill="1" applyBorder="1"/>
    <xf numFmtId="0" fontId="13" fillId="7" borderId="29" xfId="0" applyFont="1" applyFill="1" applyBorder="1"/>
    <xf numFmtId="44" fontId="13" fillId="0" borderId="29" xfId="0" applyNumberFormat="1" applyFont="1" applyBorder="1"/>
    <xf numFmtId="44" fontId="13" fillId="0" borderId="41" xfId="0" applyNumberFormat="1" applyFont="1" applyBorder="1"/>
    <xf numFmtId="3" fontId="28" fillId="0" borderId="44" xfId="0" applyNumberFormat="1" applyFont="1" applyBorder="1"/>
    <xf numFmtId="3" fontId="41" fillId="0" borderId="5" xfId="0" applyNumberFormat="1" applyFont="1" applyBorder="1"/>
    <xf numFmtId="3" fontId="41" fillId="9" borderId="5" xfId="0" applyNumberFormat="1" applyFont="1" applyFill="1" applyBorder="1"/>
    <xf numFmtId="0" fontId="35" fillId="9" borderId="41" xfId="0" applyFont="1" applyFill="1" applyBorder="1"/>
    <xf numFmtId="0" fontId="35" fillId="9" borderId="43" xfId="0" applyFont="1" applyFill="1" applyBorder="1"/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8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40" fillId="9" borderId="35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9" borderId="37" xfId="0" applyFont="1" applyFill="1" applyBorder="1" applyAlignment="1">
      <alignment horizontal="center"/>
    </xf>
    <xf numFmtId="0" fontId="40" fillId="9" borderId="3" xfId="0" applyFont="1" applyFill="1" applyBorder="1" applyAlignment="1">
      <alignment horizontal="left"/>
    </xf>
    <xf numFmtId="0" fontId="23" fillId="9" borderId="4" xfId="0" applyFont="1" applyFill="1" applyBorder="1"/>
    <xf numFmtId="0" fontId="28" fillId="7" borderId="3" xfId="0" applyFont="1" applyFill="1" applyBorder="1" applyAlignment="1">
      <alignment horizontal="left"/>
    </xf>
    <xf numFmtId="0" fontId="28" fillId="7" borderId="12" xfId="0" applyFont="1" applyFill="1" applyBorder="1" applyAlignment="1">
      <alignment horizontal="left"/>
    </xf>
    <xf numFmtId="0" fontId="28" fillId="7" borderId="55" xfId="0" applyFont="1" applyFill="1" applyBorder="1" applyAlignment="1">
      <alignment horizontal="left"/>
    </xf>
    <xf numFmtId="0" fontId="23" fillId="7" borderId="12" xfId="0" applyFont="1" applyFill="1" applyBorder="1" applyAlignment="1">
      <alignment horizontal="left"/>
    </xf>
    <xf numFmtId="0" fontId="23" fillId="7" borderId="55" xfId="0" applyFont="1" applyFill="1" applyBorder="1" applyAlignment="1">
      <alignment horizontal="left"/>
    </xf>
    <xf numFmtId="0" fontId="25" fillId="9" borderId="3" xfId="0" applyFont="1" applyFill="1" applyBorder="1" applyAlignment="1">
      <alignment horizontal="center"/>
    </xf>
    <xf numFmtId="0" fontId="25" fillId="9" borderId="12" xfId="0" applyFont="1" applyFill="1" applyBorder="1" applyAlignment="1">
      <alignment horizontal="center"/>
    </xf>
    <xf numFmtId="0" fontId="25" fillId="9" borderId="55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3" fontId="28" fillId="0" borderId="3" xfId="0" applyNumberFormat="1" applyFont="1" applyBorder="1" applyAlignment="1">
      <alignment horizontal="left"/>
    </xf>
    <xf numFmtId="0" fontId="23" fillId="0" borderId="4" xfId="0" applyFont="1" applyBorder="1"/>
    <xf numFmtId="0" fontId="25" fillId="9" borderId="7" xfId="0" applyFont="1" applyFill="1" applyBorder="1" applyAlignment="1">
      <alignment horizontal="center"/>
    </xf>
    <xf numFmtId="0" fontId="3" fillId="9" borderId="8" xfId="0" applyFont="1" applyFill="1" applyBorder="1"/>
    <xf numFmtId="0" fontId="3" fillId="9" borderId="9" xfId="0" applyFont="1" applyFill="1" applyBorder="1"/>
    <xf numFmtId="0" fontId="3" fillId="9" borderId="10" xfId="0" applyFont="1" applyFill="1" applyBorder="1"/>
    <xf numFmtId="0" fontId="20" fillId="0" borderId="3" xfId="0" applyFont="1" applyBorder="1" applyAlignment="1">
      <alignment horizontal="right"/>
    </xf>
    <xf numFmtId="0" fontId="3" fillId="0" borderId="12" xfId="0" applyFont="1" applyBorder="1"/>
    <xf numFmtId="0" fontId="25" fillId="9" borderId="10" xfId="0" applyFont="1" applyFill="1" applyBorder="1" applyAlignment="1">
      <alignment horizontal="center"/>
    </xf>
    <xf numFmtId="0" fontId="3" fillId="9" borderId="11" xfId="0" applyFont="1" applyFill="1" applyBorder="1"/>
    <xf numFmtId="0" fontId="28" fillId="8" borderId="3" xfId="0" applyFont="1" applyFill="1" applyBorder="1" applyAlignment="1">
      <alignment horizontal="left"/>
    </xf>
    <xf numFmtId="0" fontId="23" fillId="8" borderId="4" xfId="0" applyFont="1" applyFill="1" applyBorder="1"/>
    <xf numFmtId="0" fontId="23" fillId="8" borderId="3" xfId="0" applyFont="1" applyFill="1" applyBorder="1" applyAlignment="1">
      <alignment horizontal="center"/>
    </xf>
    <xf numFmtId="0" fontId="23" fillId="8" borderId="4" xfId="0" applyFont="1" applyFill="1" applyBorder="1" applyAlignment="1">
      <alignment horizontal="center"/>
    </xf>
    <xf numFmtId="0" fontId="44" fillId="0" borderId="42" xfId="0" applyFont="1" applyBorder="1" applyAlignment="1">
      <alignment horizontal="left"/>
    </xf>
    <xf numFmtId="0" fontId="44" fillId="0" borderId="59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8" fillId="0" borderId="29" xfId="0" applyFont="1" applyBorder="1" applyAlignment="1">
      <alignment horizontal="right"/>
    </xf>
    <xf numFmtId="0" fontId="8" fillId="0" borderId="52" xfId="0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12" borderId="3" xfId="0" applyFont="1" applyFill="1" applyBorder="1" applyAlignment="1">
      <alignment horizontal="center"/>
    </xf>
    <xf numFmtId="0" fontId="11" fillId="12" borderId="12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"/>
    </xf>
    <xf numFmtId="0" fontId="13" fillId="0" borderId="12" xfId="0" applyFont="1" applyBorder="1"/>
    <xf numFmtId="0" fontId="11" fillId="0" borderId="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9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0" fontId="11" fillId="0" borderId="50" xfId="0" applyFont="1" applyBorder="1" applyAlignment="1">
      <alignment horizontal="right"/>
    </xf>
    <xf numFmtId="0" fontId="11" fillId="0" borderId="51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1" fillId="0" borderId="52" xfId="0" applyFont="1" applyBorder="1" applyAlignment="1">
      <alignment horizontal="right"/>
    </xf>
    <xf numFmtId="0" fontId="13" fillId="0" borderId="30" xfId="0" applyFont="1" applyBorder="1"/>
    <xf numFmtId="0" fontId="13" fillId="0" borderId="16" xfId="0" applyFont="1" applyBorder="1" applyAlignment="1">
      <alignment horizontal="right"/>
    </xf>
    <xf numFmtId="0" fontId="13" fillId="0" borderId="50" xfId="0" applyFont="1" applyBorder="1" applyAlignment="1">
      <alignment horizontal="right"/>
    </xf>
    <xf numFmtId="0" fontId="21" fillId="0" borderId="58" xfId="1" applyBorder="1" applyAlignment="1">
      <alignment horizontal="center"/>
    </xf>
    <xf numFmtId="0" fontId="21" fillId="0" borderId="39" xfId="1" applyBorder="1" applyAlignment="1">
      <alignment horizontal="center"/>
    </xf>
  </cellXfs>
  <cellStyles count="6">
    <cellStyle name="Comma" xfId="4" builtinId="3"/>
    <cellStyle name="Currency" xfId="3" builtinId="4"/>
    <cellStyle name="Hyperlink" xfId="1" builtinId="8"/>
    <cellStyle name="Normal" xfId="0" builtinId="0"/>
    <cellStyle name="Normal 2" xfId="5" xr:uid="{85E8F881-CCF5-461D-B186-C8F0F4DDE3C4}"/>
    <cellStyle name="Percent" xfId="2" builtinId="5"/>
  </cellStyles>
  <dxfs count="51">
    <dxf>
      <font>
        <color rgb="FF9C0006"/>
      </font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grants.nih.gov/grants/guide/notice-files/NOT-HS-25-015.html" TargetMode="External"/><Relationship Id="rId1" Type="http://schemas.openxmlformats.org/officeDocument/2006/relationships/hyperlink" Target="https://grants.nih.gov/grants/policy/salcap_summary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research.ncsu.edu/administration/budgeting-guidance/fringe-benefit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tudentservices.ncsu.edu/finances/tuition-and-fees/tuition-and-fee-rates/graduate-stud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5"/>
  <sheetViews>
    <sheetView zoomScale="125" zoomScaleNormal="125" workbookViewId="0">
      <selection activeCell="U4" sqref="U4"/>
    </sheetView>
  </sheetViews>
  <sheetFormatPr defaultColWidth="14.453125" defaultRowHeight="15" customHeight="1" outlineLevelCol="1" x14ac:dyDescent="0.25"/>
  <cols>
    <col min="1" max="1" width="7.453125" customWidth="1"/>
    <col min="2" max="2" width="29.81640625" customWidth="1"/>
    <col min="3" max="12" width="11.453125" customWidth="1"/>
    <col min="13" max="13" width="12.1796875" customWidth="1"/>
    <col min="14" max="14" width="7.453125" customWidth="1"/>
    <col min="15" max="20" width="11.453125" hidden="1" customWidth="1" outlineLevel="1"/>
    <col min="21" max="21" width="11.453125" customWidth="1" collapsed="1"/>
    <col min="22" max="31" width="11.453125" customWidth="1"/>
  </cols>
  <sheetData>
    <row r="1" spans="1:21" ht="13" x14ac:dyDescent="0.3">
      <c r="A1" s="4" t="s">
        <v>0</v>
      </c>
      <c r="O1" s="4" t="s">
        <v>1</v>
      </c>
      <c r="U1" s="6" t="s">
        <v>217</v>
      </c>
    </row>
    <row r="2" spans="1:21" ht="12.75" customHeight="1" x14ac:dyDescent="0.25">
      <c r="C2" s="5" t="s">
        <v>195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200</v>
      </c>
      <c r="I2" s="5" t="s">
        <v>201</v>
      </c>
      <c r="J2" s="5" t="s">
        <v>202</v>
      </c>
      <c r="K2" s="5" t="s">
        <v>203</v>
      </c>
      <c r="L2" s="5" t="s">
        <v>204</v>
      </c>
      <c r="O2" s="7" t="s">
        <v>6</v>
      </c>
      <c r="P2" s="7"/>
    </row>
    <row r="3" spans="1:21" ht="12.75" customHeight="1" x14ac:dyDescent="0.3">
      <c r="A3" s="4" t="s">
        <v>7</v>
      </c>
      <c r="B3" s="4" t="s">
        <v>8</v>
      </c>
      <c r="C3" s="4" t="str">
        <f>'COS Internal Budget'!G1</f>
        <v>Period 1</v>
      </c>
      <c r="D3" s="4" t="str">
        <f>'COS Internal Budget'!P1</f>
        <v>Period 2</v>
      </c>
      <c r="E3" s="4" t="str">
        <f>'COS Internal Budget'!Y1</f>
        <v>Period 3</v>
      </c>
      <c r="F3" s="4" t="str">
        <f>'COS Internal Budget'!AH1</f>
        <v>Period 4</v>
      </c>
      <c r="G3" s="4" t="str">
        <f>'COS Internal Budget'!AQ1</f>
        <v>Period 5</v>
      </c>
      <c r="H3" s="4" t="str">
        <f>'COS Internal Budget'!AZ1</f>
        <v>Period 6</v>
      </c>
      <c r="I3" s="4" t="str">
        <f>'COS Internal Budget'!BI1</f>
        <v>Period 7</v>
      </c>
      <c r="J3" s="4" t="str">
        <f>'COS Internal Budget'!BR1</f>
        <v>Period 8</v>
      </c>
      <c r="K3" s="4" t="str">
        <f>'COS Internal Budget'!CA1</f>
        <v>Period 9</v>
      </c>
      <c r="L3" s="4" t="str">
        <f>'COS Internal Budget'!CJ1</f>
        <v>Period 10</v>
      </c>
      <c r="M3" s="4" t="s">
        <v>9</v>
      </c>
      <c r="N3" s="4"/>
      <c r="O3" s="4" t="str">
        <f>C3</f>
        <v>Period 1</v>
      </c>
      <c r="P3" s="4" t="str">
        <f>D3</f>
        <v>Period 2</v>
      </c>
      <c r="Q3" s="4" t="str">
        <f>E3</f>
        <v>Period 3</v>
      </c>
      <c r="R3" s="4" t="str">
        <f>J3</f>
        <v>Period 8</v>
      </c>
      <c r="S3" s="4" t="str">
        <f t="shared" ref="S3:T3" si="0">L3</f>
        <v>Period 10</v>
      </c>
      <c r="T3" s="4" t="str">
        <f t="shared" si="0"/>
        <v>TOTAL</v>
      </c>
      <c r="U3" s="4"/>
    </row>
    <row r="4" spans="1:21" s="50" customFormat="1" ht="12.75" customHeight="1" x14ac:dyDescent="0.25">
      <c r="A4" s="48">
        <v>51112</v>
      </c>
      <c r="B4" s="48" t="s">
        <v>10</v>
      </c>
      <c r="C4" s="49">
        <f>SUMIF('COS Internal Budget'!$D$5:$D$17,$B4,'COS Internal Budget'!$I$5:$I$17)</f>
        <v>0</v>
      </c>
      <c r="D4" s="49">
        <f>SUMIF('COS Internal Budget'!$D$5:$D$17,$B4,'COS Internal Budget'!$R$5:$R$17)</f>
        <v>0</v>
      </c>
      <c r="E4" s="49">
        <f>SUMIF('COS Internal Budget'!$D$5:$D$17,$B4,'COS Internal Budget'!$AA$5:$AA$17)</f>
        <v>0</v>
      </c>
      <c r="F4" s="49">
        <f>SUMIF('COS Internal Budget'!$D$5:$D$17,$B4,'COS Internal Budget'!$AJ$5:$AJ$17)</f>
        <v>0</v>
      </c>
      <c r="G4" s="49">
        <f>SUMIF('COS Internal Budget'!$D$5:$D$17,$B4,'COS Internal Budget'!$AS$5:$AS$17)</f>
        <v>0</v>
      </c>
      <c r="H4" s="49">
        <f>SUMIF('COS Internal Budget'!$D$5:$D$17,$B4,'COS Internal Budget'!$BB$5:$BB$17)</f>
        <v>0</v>
      </c>
      <c r="I4" s="49">
        <f>SUMIF('COS Internal Budget'!$D$5:$D$17,$B4,'COS Internal Budget'!$BK$5:$BK$17)</f>
        <v>0</v>
      </c>
      <c r="J4" s="49">
        <f>SUMIF('COS Internal Budget'!$D$5:$D$17,$B4,'COS Internal Budget'!$BT$5:$BT$17)</f>
        <v>0</v>
      </c>
      <c r="K4" s="49">
        <f>SUMIF('COS Internal Budget'!$D$5:$D$17,$B4,'COS Internal Budget'!$CC$5:$CC$17)</f>
        <v>0</v>
      </c>
      <c r="L4" s="49">
        <f>SUMIF('COS Internal Budget'!$D$5:$D$17,$B4,'COS Internal Budget'!$CL$5:$CL$17)</f>
        <v>0</v>
      </c>
      <c r="M4" s="49">
        <f t="shared" ref="M4:M25" si="1">SUM(C4:L4)</f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  <c r="T4" s="49">
        <f t="shared" ref="T4:T25" si="2">SUM(O4:S4)</f>
        <v>0</v>
      </c>
    </row>
    <row r="5" spans="1:21" s="50" customFormat="1" ht="12.75" customHeight="1" x14ac:dyDescent="0.25">
      <c r="A5" s="48">
        <v>51116</v>
      </c>
      <c r="B5" s="48" t="s">
        <v>11</v>
      </c>
      <c r="C5" s="49">
        <f>SUMIF('COS Internal Budget'!$D$5:$D$17,$B5,'COS Internal Budget'!$I$5:$I$17)</f>
        <v>0</v>
      </c>
      <c r="D5" s="49">
        <f>SUMIF('COS Internal Budget'!$D$5:$D$17,$B5,'COS Internal Budget'!$R$5:$R$17)</f>
        <v>0</v>
      </c>
      <c r="E5" s="49">
        <f>SUMIF('COS Internal Budget'!$D$5:$D$17,$B5,'COS Internal Budget'!$AA$5:$AA$17)</f>
        <v>0</v>
      </c>
      <c r="F5" s="49">
        <f>SUMIF('COS Internal Budget'!$D$5:$D$17,$B5,'COS Internal Budget'!$AJ$5:$AJ$17)</f>
        <v>0</v>
      </c>
      <c r="G5" s="49">
        <f>SUMIF('COS Internal Budget'!$D$5:$D$17,$B5,'COS Internal Budget'!$AS$5:$AS$17)</f>
        <v>0</v>
      </c>
      <c r="H5" s="49">
        <f>SUMIF('COS Internal Budget'!$D$5:$D$17,$B5,'COS Internal Budget'!$BB$5:$BB$17)</f>
        <v>0</v>
      </c>
      <c r="I5" s="49">
        <f>SUMIF('COS Internal Budget'!$D$5:$D$17,$B5,'COS Internal Budget'!$BK$5:$BK$17)</f>
        <v>0</v>
      </c>
      <c r="J5" s="49">
        <f>SUMIF('COS Internal Budget'!$D$5:$D$17,$B5,'COS Internal Budget'!$BT$5:$BT$17)</f>
        <v>0</v>
      </c>
      <c r="K5" s="49">
        <f>SUMIF('COS Internal Budget'!$D$5:$D$17,$B5,'COS Internal Budget'!$CC$5:$CC$17)</f>
        <v>0</v>
      </c>
      <c r="L5" s="49">
        <f>SUMIF('COS Internal Budget'!$D$5:$D$17,$B5,'COS Internal Budget'!$CL$5:$CL$17)</f>
        <v>0</v>
      </c>
      <c r="M5" s="49">
        <f t="shared" si="1"/>
        <v>0</v>
      </c>
      <c r="O5" s="49">
        <v>0</v>
      </c>
      <c r="P5" s="49">
        <v>0</v>
      </c>
      <c r="Q5" s="49">
        <v>0</v>
      </c>
      <c r="R5" s="49">
        <v>0</v>
      </c>
      <c r="S5" s="49">
        <v>0</v>
      </c>
      <c r="T5" s="49">
        <f t="shared" si="2"/>
        <v>0</v>
      </c>
    </row>
    <row r="6" spans="1:21" s="50" customFormat="1" ht="12.75" customHeight="1" x14ac:dyDescent="0.25">
      <c r="A6" s="48">
        <v>51118</v>
      </c>
      <c r="B6" s="48" t="s">
        <v>12</v>
      </c>
      <c r="C6" s="49">
        <f>SUMIF('COS Internal Budget'!$D$5:$D$17,$B6,'COS Internal Budget'!$I$5:$I$17)</f>
        <v>0</v>
      </c>
      <c r="D6" s="49">
        <f>SUMIF('COS Internal Budget'!$D$5:$D$17,$B6,'COS Internal Budget'!$R$5:$R$17)</f>
        <v>0</v>
      </c>
      <c r="E6" s="49">
        <f>SUMIF('COS Internal Budget'!$D$5:$D$17,$B6,'COS Internal Budget'!$AA$5:$AA$17)</f>
        <v>0</v>
      </c>
      <c r="F6" s="49">
        <f>SUMIF('COS Internal Budget'!$D$5:$D$17,$B6,'COS Internal Budget'!$AJ$5:$AJ$17)</f>
        <v>0</v>
      </c>
      <c r="G6" s="49">
        <f>SUMIF('COS Internal Budget'!$D$5:$D$17,$B6,'COS Internal Budget'!$AS$5:$AS$17)</f>
        <v>0</v>
      </c>
      <c r="H6" s="49">
        <f>SUMIF('COS Internal Budget'!$D$5:$D$17,$B6,'COS Internal Budget'!$BB$5:$BB$17)</f>
        <v>0</v>
      </c>
      <c r="I6" s="49">
        <f>SUMIF('COS Internal Budget'!$D$5:$D$17,$B6,'COS Internal Budget'!$BK$5:$BK$17)</f>
        <v>0</v>
      </c>
      <c r="J6" s="49">
        <f>SUMIF('COS Internal Budget'!$D$5:$D$17,$B6,'COS Internal Budget'!$BT$5:$BT$17)</f>
        <v>0</v>
      </c>
      <c r="K6" s="49">
        <f>SUMIF('COS Internal Budget'!$D$5:$D$17,$B6,'COS Internal Budget'!$CC$5:$CC$17)</f>
        <v>0</v>
      </c>
      <c r="L6" s="49">
        <f>SUMIF('COS Internal Budget'!$D$5:$D$17,$B6,'COS Internal Budget'!$CL$5:$CL$17)</f>
        <v>0</v>
      </c>
      <c r="M6" s="49">
        <f t="shared" si="1"/>
        <v>0</v>
      </c>
      <c r="O6" s="49">
        <v>0</v>
      </c>
      <c r="P6" s="49">
        <v>0</v>
      </c>
      <c r="Q6" s="49">
        <v>0</v>
      </c>
      <c r="R6" s="49">
        <v>0</v>
      </c>
      <c r="S6" s="49">
        <v>0</v>
      </c>
      <c r="T6" s="49">
        <f t="shared" si="2"/>
        <v>0</v>
      </c>
    </row>
    <row r="7" spans="1:21" s="50" customFormat="1" ht="12.75" customHeight="1" x14ac:dyDescent="0.25">
      <c r="A7" s="48">
        <v>51119</v>
      </c>
      <c r="B7" s="48" t="s">
        <v>13</v>
      </c>
      <c r="C7" s="49">
        <f>SUMIF('COS Internal Budget'!$D$5:$D$17,$B7,'COS Internal Budget'!$I$5:$I$17)</f>
        <v>0</v>
      </c>
      <c r="D7" s="49">
        <f>SUMIF('COS Internal Budget'!$D$5:$D$17,$B7,'COS Internal Budget'!$R$5:$R$17)</f>
        <v>0</v>
      </c>
      <c r="E7" s="49">
        <f>SUMIF('COS Internal Budget'!$D$5:$D$17,$B7,'COS Internal Budget'!$AA$5:$AA$17)</f>
        <v>0</v>
      </c>
      <c r="F7" s="49">
        <f>SUMIF('COS Internal Budget'!$D$5:$D$17,$B7,'COS Internal Budget'!$AJ$5:$AJ$17)</f>
        <v>0</v>
      </c>
      <c r="G7" s="49">
        <f>SUMIF('COS Internal Budget'!$D$5:$D$17,$B7,'COS Internal Budget'!$AS$5:$AS$17)</f>
        <v>0</v>
      </c>
      <c r="H7" s="49">
        <f>SUMIF('COS Internal Budget'!$D$5:$D$17,$B7,'COS Internal Budget'!$BB$5:$BB$17)</f>
        <v>0</v>
      </c>
      <c r="I7" s="49">
        <f>SUMIF('COS Internal Budget'!$D$5:$D$17,$B7,'COS Internal Budget'!$BK$5:$BK$17)</f>
        <v>0</v>
      </c>
      <c r="J7" s="49">
        <f>SUMIF('COS Internal Budget'!$D$5:$D$17,$B7,'COS Internal Budget'!$BT$5:$BT$17)</f>
        <v>0</v>
      </c>
      <c r="K7" s="49">
        <f>SUMIF('COS Internal Budget'!$D$5:$D$17,$B7,'COS Internal Budget'!$CC$5:$CC$17)</f>
        <v>0</v>
      </c>
      <c r="L7" s="49">
        <f>SUMIF('COS Internal Budget'!$D$5:$D$17,$B7,'COS Internal Budget'!$CL$5:$CL$17)</f>
        <v>0</v>
      </c>
      <c r="M7" s="49">
        <f t="shared" si="1"/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f t="shared" si="2"/>
        <v>0</v>
      </c>
    </row>
    <row r="8" spans="1:21" s="50" customFormat="1" ht="12.75" customHeight="1" x14ac:dyDescent="0.25">
      <c r="A8" s="48">
        <v>51119</v>
      </c>
      <c r="B8" s="48" t="s">
        <v>14</v>
      </c>
      <c r="C8" s="49">
        <f>SUMIF('COS Internal Budget'!$D$5:$D$17,$B8,'COS Internal Budget'!$I$5:$I$17)</f>
        <v>0</v>
      </c>
      <c r="D8" s="49">
        <f>SUMIF('COS Internal Budget'!$D$5:$D$17,$B8,'COS Internal Budget'!$R$5:$R$17)</f>
        <v>0</v>
      </c>
      <c r="E8" s="49">
        <f>SUMIF('COS Internal Budget'!$D$5:$D$17,$B8,'COS Internal Budget'!$AA$5:$AA$17)</f>
        <v>0</v>
      </c>
      <c r="F8" s="49">
        <f>SUMIF('COS Internal Budget'!$D$5:$D$17,$B8,'COS Internal Budget'!$AJ$5:$AJ$17)</f>
        <v>0</v>
      </c>
      <c r="G8" s="49">
        <f>SUMIF('COS Internal Budget'!$D$5:$D$17,$B8,'COS Internal Budget'!$AS$5:$AS$17)</f>
        <v>0</v>
      </c>
      <c r="H8" s="49">
        <f>SUMIF('COS Internal Budget'!$D$5:$D$17,$B8,'COS Internal Budget'!$BB$5:$BB$17)</f>
        <v>0</v>
      </c>
      <c r="I8" s="49">
        <f>SUMIF('COS Internal Budget'!$D$5:$D$17,$B8,'COS Internal Budget'!$BK$5:$BK$17)</f>
        <v>0</v>
      </c>
      <c r="J8" s="49">
        <f>SUMIF('COS Internal Budget'!$D$5:$D$17,$B8,'COS Internal Budget'!$BT$5:$BT$17)</f>
        <v>0</v>
      </c>
      <c r="K8" s="49">
        <f>SUMIF('COS Internal Budget'!$D$5:$D$17,$B8,'COS Internal Budget'!$CC$5:$CC$17)</f>
        <v>0</v>
      </c>
      <c r="L8" s="49">
        <f>SUMIF('COS Internal Budget'!$D$5:$D$17,$B8,'COS Internal Budget'!$CL$5:$CL$17)</f>
        <v>0</v>
      </c>
      <c r="M8" s="49">
        <f t="shared" si="1"/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f t="shared" si="2"/>
        <v>0</v>
      </c>
    </row>
    <row r="9" spans="1:21" s="50" customFormat="1" ht="12.75" customHeight="1" x14ac:dyDescent="0.25">
      <c r="A9" s="48">
        <v>51119</v>
      </c>
      <c r="B9" s="48" t="s">
        <v>15</v>
      </c>
      <c r="C9" s="49">
        <f>SUMIF('COS Internal Budget'!$D$5:$D$17,$B9,'COS Internal Budget'!$I$5:$I$17)</f>
        <v>0</v>
      </c>
      <c r="D9" s="49">
        <f>SUMIF('COS Internal Budget'!$D$5:$D$17,$B9,'COS Internal Budget'!$R$5:$R$17)</f>
        <v>0</v>
      </c>
      <c r="E9" s="49">
        <f>SUMIF('COS Internal Budget'!$D$5:$D$17,$B9,'COS Internal Budget'!$AA$5:$AA$17)</f>
        <v>0</v>
      </c>
      <c r="F9" s="49">
        <f>SUMIF('COS Internal Budget'!$D$5:$D$17,$B9,'COS Internal Budget'!$AJ$5:$AJ$17)</f>
        <v>0</v>
      </c>
      <c r="G9" s="49">
        <f>SUMIF('COS Internal Budget'!$D$5:$D$17,$B9,'COS Internal Budget'!$AS$5:$AS$17)</f>
        <v>0</v>
      </c>
      <c r="H9" s="49">
        <f>SUMIF('COS Internal Budget'!$D$5:$D$17,$B9,'COS Internal Budget'!$BB$5:$BB$17)</f>
        <v>0</v>
      </c>
      <c r="I9" s="49">
        <f>SUMIF('COS Internal Budget'!$D$5:$D$17,$B9,'COS Internal Budget'!$BK$5:$BK$17)</f>
        <v>0</v>
      </c>
      <c r="J9" s="49">
        <f>SUMIF('COS Internal Budget'!$D$5:$D$17,$B9,'COS Internal Budget'!$BT$5:$BT$17)</f>
        <v>0</v>
      </c>
      <c r="K9" s="49">
        <f>SUMIF('COS Internal Budget'!$D$5:$D$17,$B9,'COS Internal Budget'!$CC$5:$CC$17)</f>
        <v>0</v>
      </c>
      <c r="L9" s="49">
        <f>SUMIF('COS Internal Budget'!$D$5:$D$17,$B9,'COS Internal Budget'!$CL$5:$CL$17)</f>
        <v>0</v>
      </c>
      <c r="M9" s="49">
        <f t="shared" si="1"/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f t="shared" si="2"/>
        <v>0</v>
      </c>
    </row>
    <row r="10" spans="1:21" s="50" customFormat="1" ht="12.75" customHeight="1" x14ac:dyDescent="0.25">
      <c r="A10" s="48">
        <v>51410</v>
      </c>
      <c r="B10" s="48" t="s">
        <v>16</v>
      </c>
      <c r="C10" s="49">
        <f>SUMIF('COS Internal Budget'!$D$5:$D$17,$B10,'COS Internal Budget'!$I$5:$I$17)</f>
        <v>0</v>
      </c>
      <c r="D10" s="49">
        <f>SUMIF('COS Internal Budget'!$D$5:$D$17,$B10,'COS Internal Budget'!$R$5:$R$17)</f>
        <v>0</v>
      </c>
      <c r="E10" s="49">
        <f>SUMIF('COS Internal Budget'!$D$5:$D$17,$B10,'COS Internal Budget'!$AA$5:$AA$17)</f>
        <v>0</v>
      </c>
      <c r="F10" s="49">
        <f>SUMIF('COS Internal Budget'!$D$5:$D$17,$B10,'COS Internal Budget'!$AJ$5:$AJ$17)</f>
        <v>0</v>
      </c>
      <c r="G10" s="49">
        <f>SUMIF('COS Internal Budget'!$D$5:$D$17,$B10,'COS Internal Budget'!$AS$5:$AS$17)</f>
        <v>0</v>
      </c>
      <c r="H10" s="49">
        <f>SUMIF('COS Internal Budget'!$D$5:$D$17,$B10,'COS Internal Budget'!$BB$5:$BB$17)</f>
        <v>0</v>
      </c>
      <c r="I10" s="49">
        <f>SUMIF('COS Internal Budget'!$D$5:$D$17,$B10,'COS Internal Budget'!$BK$5:$BK$17)</f>
        <v>0</v>
      </c>
      <c r="J10" s="49">
        <f>SUMIF('COS Internal Budget'!$D$5:$D$17,$B10,'COS Internal Budget'!$BT$5:$BT$17)</f>
        <v>0</v>
      </c>
      <c r="K10" s="49">
        <f>SUMIF('COS Internal Budget'!$D$5:$D$17,$B10,'COS Internal Budget'!$CC$5:$CC$17)</f>
        <v>0</v>
      </c>
      <c r="L10" s="49">
        <f>SUMIF('COS Internal Budget'!$D$5:$D$17,$B10,'COS Internal Budget'!$CL$5:$CL$17)</f>
        <v>0</v>
      </c>
      <c r="M10" s="49">
        <f t="shared" si="1"/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f t="shared" si="2"/>
        <v>0</v>
      </c>
    </row>
    <row r="11" spans="1:21" s="50" customFormat="1" ht="12.75" customHeight="1" x14ac:dyDescent="0.25">
      <c r="A11" s="48">
        <v>51450</v>
      </c>
      <c r="B11" s="48" t="s">
        <v>17</v>
      </c>
      <c r="C11" s="49">
        <f>SUMIF('COS Internal Budget'!$D$5:$D$17,$B11,'COS Internal Budget'!$I$5:$I$17)</f>
        <v>0</v>
      </c>
      <c r="D11" s="49">
        <f>SUMIF('COS Internal Budget'!$D$5:$D$17,$B11,'COS Internal Budget'!$R$5:$R$17)</f>
        <v>0</v>
      </c>
      <c r="E11" s="49">
        <f>SUMIF('COS Internal Budget'!$D$5:$D$17,$B11,'COS Internal Budget'!$AA$5:$AA$17)</f>
        <v>0</v>
      </c>
      <c r="F11" s="49">
        <f>SUMIF('COS Internal Budget'!$D$5:$D$17,$B11,'COS Internal Budget'!$AJ$5:$AJ$17)</f>
        <v>0</v>
      </c>
      <c r="G11" s="49">
        <f>SUMIF('COS Internal Budget'!$D$5:$D$17,$B11,'COS Internal Budget'!$AS$5:$AS$17)</f>
        <v>0</v>
      </c>
      <c r="H11" s="49">
        <f>SUMIF('COS Internal Budget'!$D$5:$D$17,$B11,'COS Internal Budget'!$BB$5:$BB$17)</f>
        <v>0</v>
      </c>
      <c r="I11" s="49">
        <f>SUMIF('COS Internal Budget'!$D$5:$D$17,$B11,'COS Internal Budget'!$BK$5:$BK$17)</f>
        <v>0</v>
      </c>
      <c r="J11" s="49">
        <f>SUMIF('COS Internal Budget'!$D$5:$D$17,$B11,'COS Internal Budget'!$BT$5:$BT$17)</f>
        <v>0</v>
      </c>
      <c r="K11" s="49">
        <f>SUMIF('COS Internal Budget'!$D$5:$D$17,$B11,'COS Internal Budget'!$CC$5:$CC$17)</f>
        <v>0</v>
      </c>
      <c r="L11" s="49">
        <f>SUMIF('COS Internal Budget'!$D$5:$D$17,$B11,'COS Internal Budget'!$CL$5:$CL$17)</f>
        <v>0</v>
      </c>
      <c r="M11" s="49">
        <f t="shared" si="1"/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f t="shared" si="2"/>
        <v>0</v>
      </c>
    </row>
    <row r="12" spans="1:21" ht="12.75" customHeight="1" x14ac:dyDescent="0.3">
      <c r="A12" s="4">
        <v>51000</v>
      </c>
      <c r="B12" s="4" t="s">
        <v>18</v>
      </c>
      <c r="C12" s="8">
        <f>SUM(C4:C11)</f>
        <v>0</v>
      </c>
      <c r="D12" s="8">
        <f t="shared" ref="D12:L12" si="3">SUM(D4:D11)</f>
        <v>0</v>
      </c>
      <c r="E12" s="8">
        <f t="shared" si="3"/>
        <v>0</v>
      </c>
      <c r="F12" s="8">
        <f t="shared" ref="F12" si="4">SUM(F4:F11)</f>
        <v>0</v>
      </c>
      <c r="G12" s="8">
        <f t="shared" ref="G12:K12" si="5">SUM(G4:G11)</f>
        <v>0</v>
      </c>
      <c r="H12" s="8">
        <f t="shared" si="5"/>
        <v>0</v>
      </c>
      <c r="I12" s="8">
        <f t="shared" ref="I12" si="6">SUM(I4:I11)</f>
        <v>0</v>
      </c>
      <c r="J12" s="8">
        <f t="shared" si="3"/>
        <v>0</v>
      </c>
      <c r="K12" s="8">
        <f t="shared" si="5"/>
        <v>0</v>
      </c>
      <c r="L12" s="8">
        <f t="shared" si="3"/>
        <v>0</v>
      </c>
      <c r="M12" s="9">
        <f t="shared" si="1"/>
        <v>0</v>
      </c>
      <c r="O12" s="8">
        <f t="shared" ref="O12:S12" si="7">SUM(O4:O11)</f>
        <v>0</v>
      </c>
      <c r="P12" s="8">
        <f t="shared" si="7"/>
        <v>0</v>
      </c>
      <c r="Q12" s="8">
        <f t="shared" si="7"/>
        <v>0</v>
      </c>
      <c r="R12" s="8">
        <f t="shared" si="7"/>
        <v>0</v>
      </c>
      <c r="S12" s="8">
        <f t="shared" si="7"/>
        <v>0</v>
      </c>
      <c r="T12" s="9">
        <f t="shared" si="2"/>
        <v>0</v>
      </c>
    </row>
    <row r="13" spans="1:21" ht="12.75" customHeight="1" x14ac:dyDescent="0.3">
      <c r="A13" s="4">
        <v>51800</v>
      </c>
      <c r="B13" s="4" t="s">
        <v>19</v>
      </c>
      <c r="C13" s="8">
        <f>'COS Internal Budget'!M19</f>
        <v>0</v>
      </c>
      <c r="D13" s="8">
        <f>'COS Internal Budget'!V19</f>
        <v>0</v>
      </c>
      <c r="E13" s="8">
        <f>'COS Internal Budget'!AE19</f>
        <v>0</v>
      </c>
      <c r="F13" s="8">
        <f>'COS Internal Budget'!AN19</f>
        <v>0</v>
      </c>
      <c r="G13" s="8">
        <f>'COS Internal Budget'!AW19</f>
        <v>0</v>
      </c>
      <c r="H13" s="8">
        <f>'COS Internal Budget'!BF19</f>
        <v>0</v>
      </c>
      <c r="I13" s="8">
        <f>'COS Internal Budget'!BO19</f>
        <v>0</v>
      </c>
      <c r="J13" s="8">
        <f>'COS Internal Budget'!BX19</f>
        <v>0</v>
      </c>
      <c r="K13" s="8">
        <f>'COS Internal Budget'!CG19</f>
        <v>0</v>
      </c>
      <c r="L13" s="8">
        <f>'COS Internal Budget'!CP19</f>
        <v>0</v>
      </c>
      <c r="M13" s="9">
        <f t="shared" si="1"/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9">
        <f t="shared" si="2"/>
        <v>0</v>
      </c>
    </row>
    <row r="14" spans="1:21" ht="12.75" customHeight="1" x14ac:dyDescent="0.3">
      <c r="A14" s="4">
        <v>51900</v>
      </c>
      <c r="B14" s="4" t="s">
        <v>20</v>
      </c>
      <c r="C14" s="8">
        <f>'COS Internal Budget'!M39</f>
        <v>0</v>
      </c>
      <c r="D14" s="8">
        <f>'COS Internal Budget'!V39</f>
        <v>0</v>
      </c>
      <c r="E14" s="8">
        <f>'COS Internal Budget'!AE39</f>
        <v>0</v>
      </c>
      <c r="F14" s="8">
        <f>'COS Internal Budget'!AN39</f>
        <v>0</v>
      </c>
      <c r="G14" s="8">
        <f>'COS Internal Budget'!AW39</f>
        <v>0</v>
      </c>
      <c r="H14" s="8">
        <f>'COS Internal Budget'!BF39</f>
        <v>0</v>
      </c>
      <c r="I14" s="8">
        <f>'COS Internal Budget'!BO39</f>
        <v>0</v>
      </c>
      <c r="J14" s="8">
        <f>'COS Internal Budget'!BX39</f>
        <v>0</v>
      </c>
      <c r="K14" s="8">
        <f>'COS Internal Budget'!CG39</f>
        <v>0</v>
      </c>
      <c r="L14" s="8">
        <f>'COS Internal Budget'!CP39</f>
        <v>0</v>
      </c>
      <c r="M14" s="9">
        <f t="shared" si="1"/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9">
        <f t="shared" si="2"/>
        <v>0</v>
      </c>
    </row>
    <row r="15" spans="1:21" ht="12.75" customHeight="1" x14ac:dyDescent="0.3">
      <c r="A15" s="4">
        <v>52000</v>
      </c>
      <c r="B15" s="4" t="s">
        <v>21</v>
      </c>
      <c r="C15" s="8">
        <f>'COS Internal Budget'!M37</f>
        <v>0</v>
      </c>
      <c r="D15" s="8">
        <f>'COS Internal Budget'!V37</f>
        <v>0</v>
      </c>
      <c r="E15" s="8">
        <f>'COS Internal Budget'!AE37</f>
        <v>0</v>
      </c>
      <c r="F15" s="8">
        <f>'COS Internal Budget'!AN37</f>
        <v>0</v>
      </c>
      <c r="G15" s="8">
        <f>'COS Internal Budget'!AW37</f>
        <v>0</v>
      </c>
      <c r="H15" s="8">
        <f>'COS Internal Budget'!BF37</f>
        <v>0</v>
      </c>
      <c r="I15" s="8">
        <f>'COS Internal Budget'!BO37</f>
        <v>0</v>
      </c>
      <c r="J15" s="8">
        <f>'COS Internal Budget'!BX37</f>
        <v>0</v>
      </c>
      <c r="K15" s="8">
        <f>'COS Internal Budget'!CG37</f>
        <v>0</v>
      </c>
      <c r="L15" s="8">
        <f>'COS Internal Budget'!CP37</f>
        <v>0</v>
      </c>
      <c r="M15" s="9">
        <f t="shared" si="1"/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9">
        <f t="shared" si="2"/>
        <v>0</v>
      </c>
    </row>
    <row r="16" spans="1:21" ht="12.75" customHeight="1" x14ac:dyDescent="0.3">
      <c r="A16" s="4">
        <v>53000</v>
      </c>
      <c r="B16" s="4" t="s">
        <v>22</v>
      </c>
      <c r="C16" s="8" t="e">
        <f>'COS Internal Budget'!M38+'COS Internal Budget'!M40+'COS Internal Budget'!M42+'COS Internal Budget'!M43+'COS Internal Budget'!#REF!</f>
        <v>#REF!</v>
      </c>
      <c r="D16" s="8">
        <f>'COS Internal Budget'!V38+'COS Internal Budget'!V40+'COS Internal Budget'!V42+'COS Internal Budget'!V43</f>
        <v>0</v>
      </c>
      <c r="E16" s="8">
        <f>'COS Internal Budget'!AE38+'COS Internal Budget'!AE42+'COS Internal Budget'!AE43+'COS Internal Budget'!AE40</f>
        <v>0</v>
      </c>
      <c r="F16" s="8">
        <f>'COS Internal Budget'!AN38+'COS Internal Budget'!AN42+'COS Internal Budget'!AN43+'COS Internal Budget'!AN40</f>
        <v>0</v>
      </c>
      <c r="G16" s="8">
        <f>'COS Internal Budget'!AW38+'COS Internal Budget'!AW42+'COS Internal Budget'!AW43+'COS Internal Budget'!AW40</f>
        <v>0</v>
      </c>
      <c r="H16" s="8">
        <f>'COS Internal Budget'!BF38+'COS Internal Budget'!BF42+'COS Internal Budget'!BF43+'COS Internal Budget'!BF40</f>
        <v>0</v>
      </c>
      <c r="I16" s="8">
        <f>'COS Internal Budget'!BO38+'COS Internal Budget'!BO42+'COS Internal Budget'!BO43+'COS Internal Budget'!BO40</f>
        <v>0</v>
      </c>
      <c r="J16" s="8">
        <f>'COS Internal Budget'!BX38+'COS Internal Budget'!BX42+'COS Internal Budget'!BX43+'COS Internal Budget'!BX40</f>
        <v>0</v>
      </c>
      <c r="K16" s="8">
        <f>'COS Internal Budget'!CG38+'COS Internal Budget'!CG42+'COS Internal Budget'!CG43+'COS Internal Budget'!CG40</f>
        <v>0</v>
      </c>
      <c r="L16" s="8">
        <f>'COS Internal Budget'!CP38+'COS Internal Budget'!CP42+'COS Internal Budget'!CP43+'COS Internal Budget'!CP40</f>
        <v>0</v>
      </c>
      <c r="M16" s="9" t="e">
        <f t="shared" si="1"/>
        <v>#REF!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9">
        <f t="shared" si="2"/>
        <v>0</v>
      </c>
    </row>
    <row r="17" spans="1:20" ht="12.75" customHeight="1" x14ac:dyDescent="0.3">
      <c r="A17" s="4">
        <v>53100</v>
      </c>
      <c r="B17" s="4" t="s">
        <v>23</v>
      </c>
      <c r="C17" s="8">
        <f>'COS Internal Budget'!M27</f>
        <v>0</v>
      </c>
      <c r="D17" s="8">
        <f>'COS Internal Budget'!V27</f>
        <v>0</v>
      </c>
      <c r="E17" s="8">
        <f>'COS Internal Budget'!AE27</f>
        <v>0</v>
      </c>
      <c r="F17" s="8">
        <f>'COS Internal Budget'!AN27</f>
        <v>0</v>
      </c>
      <c r="G17" s="8">
        <f>'COS Internal Budget'!AW27</f>
        <v>0</v>
      </c>
      <c r="H17" s="8">
        <f>'COS Internal Budget'!BF27</f>
        <v>0</v>
      </c>
      <c r="I17" s="8">
        <f>'COS Internal Budget'!BO27</f>
        <v>0</v>
      </c>
      <c r="J17" s="8">
        <f>'COS Internal Budget'!BX27</f>
        <v>0</v>
      </c>
      <c r="K17" s="8">
        <f>'COS Internal Budget'!CG27</f>
        <v>0</v>
      </c>
      <c r="L17" s="8">
        <f>'COS Internal Budget'!CP27</f>
        <v>0</v>
      </c>
      <c r="M17" s="9">
        <f t="shared" si="1"/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9">
        <f t="shared" si="2"/>
        <v>0</v>
      </c>
    </row>
    <row r="18" spans="1:20" ht="12.75" customHeight="1" x14ac:dyDescent="0.3">
      <c r="A18" s="4">
        <v>53130</v>
      </c>
      <c r="B18" s="4" t="s">
        <v>24</v>
      </c>
      <c r="C18" s="8">
        <f>'COS Internal Budget'!M28</f>
        <v>0</v>
      </c>
      <c r="D18" s="8">
        <f>'COS Internal Budget'!V28</f>
        <v>0</v>
      </c>
      <c r="E18" s="8">
        <f>'COS Internal Budget'!AE28</f>
        <v>0</v>
      </c>
      <c r="F18" s="8">
        <f>'COS Internal Budget'!AN28</f>
        <v>0</v>
      </c>
      <c r="G18" s="8">
        <f>'COS Internal Budget'!AW28</f>
        <v>0</v>
      </c>
      <c r="H18" s="8">
        <f>'COS Internal Budget'!BF28</f>
        <v>0</v>
      </c>
      <c r="I18" s="8">
        <f>'COS Internal Budget'!BO28</f>
        <v>0</v>
      </c>
      <c r="J18" s="8">
        <f>'COS Internal Budget'!BX28</f>
        <v>0</v>
      </c>
      <c r="K18" s="8">
        <f>'COS Internal Budget'!CG28</f>
        <v>0</v>
      </c>
      <c r="L18" s="8">
        <f>'COS Internal Budget'!CP28</f>
        <v>0</v>
      </c>
      <c r="M18" s="9">
        <f t="shared" si="1"/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9">
        <f t="shared" si="2"/>
        <v>0</v>
      </c>
    </row>
    <row r="19" spans="1:20" ht="12.75" customHeight="1" x14ac:dyDescent="0.3">
      <c r="A19" s="4">
        <v>54000</v>
      </c>
      <c r="B19" s="4" t="s">
        <v>25</v>
      </c>
      <c r="C19" s="8">
        <f>'COS Internal Budget'!M41</f>
        <v>0</v>
      </c>
      <c r="D19" s="8">
        <f>'COS Internal Budget'!V41</f>
        <v>0</v>
      </c>
      <c r="E19" s="8">
        <f>'COS Internal Budget'!AE41</f>
        <v>0</v>
      </c>
      <c r="F19" s="8">
        <f>'COS Internal Budget'!AN41</f>
        <v>0</v>
      </c>
      <c r="G19" s="8">
        <f>'COS Internal Budget'!AW41</f>
        <v>0</v>
      </c>
      <c r="H19" s="8">
        <f>'COS Internal Budget'!BF41</f>
        <v>0</v>
      </c>
      <c r="I19" s="8">
        <f>'COS Internal Budget'!BO41</f>
        <v>0</v>
      </c>
      <c r="J19" s="8">
        <f>'COS Internal Budget'!BX41</f>
        <v>0</v>
      </c>
      <c r="K19" s="8">
        <f>'COS Internal Budget'!CG41</f>
        <v>0</v>
      </c>
      <c r="L19" s="8">
        <f>'COS Internal Budget'!CP41</f>
        <v>0</v>
      </c>
      <c r="M19" s="9">
        <f t="shared" si="1"/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9">
        <f t="shared" si="2"/>
        <v>0</v>
      </c>
    </row>
    <row r="20" spans="1:20" ht="12.75" customHeight="1" x14ac:dyDescent="0.3">
      <c r="A20" s="4">
        <v>55000</v>
      </c>
      <c r="B20" s="4" t="s">
        <v>26</v>
      </c>
      <c r="C20" s="8">
        <f>'COS Internal Budget'!N22</f>
        <v>0</v>
      </c>
      <c r="D20" s="8">
        <f>'COS Internal Budget'!W22</f>
        <v>0</v>
      </c>
      <c r="E20" s="8">
        <f>'COS Internal Budget'!AF22</f>
        <v>0</v>
      </c>
      <c r="F20" s="8" t="e">
        <f>'COS Internal Budget'!#REF!</f>
        <v>#REF!</v>
      </c>
      <c r="G20" s="8">
        <f>'COS Internal Budget'!AX22</f>
        <v>0</v>
      </c>
      <c r="H20" s="8">
        <f>'COS Internal Budget'!BG22</f>
        <v>0</v>
      </c>
      <c r="I20" s="8">
        <f>'COS Internal Budget'!BP22</f>
        <v>0</v>
      </c>
      <c r="J20" s="8">
        <f>'COS Internal Budget'!BY22</f>
        <v>0</v>
      </c>
      <c r="K20" s="8">
        <f>'COS Internal Budget'!CH22</f>
        <v>0</v>
      </c>
      <c r="L20" s="8">
        <f>'COS Internal Budget'!CQ22</f>
        <v>0</v>
      </c>
      <c r="M20" s="9" t="e">
        <f t="shared" si="1"/>
        <v>#REF!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9">
        <f t="shared" si="2"/>
        <v>0</v>
      </c>
    </row>
    <row r="21" spans="1:20" ht="12.75" customHeight="1" x14ac:dyDescent="0.3">
      <c r="A21" s="4">
        <v>56000</v>
      </c>
      <c r="B21" s="4" t="s">
        <v>27</v>
      </c>
      <c r="C21" s="8">
        <f>'COS Internal Budget'!M46+'COS Internal Budget'!M47</f>
        <v>0</v>
      </c>
      <c r="D21" s="8">
        <f>'COS Internal Budget'!V46+'COS Internal Budget'!V47</f>
        <v>0</v>
      </c>
      <c r="E21" s="8">
        <f>'COS Internal Budget'!AE46+'COS Internal Budget'!AE47</f>
        <v>0</v>
      </c>
      <c r="F21" s="8">
        <f>'COS Internal Budget'!AN46+'COS Internal Budget'!AN47</f>
        <v>0</v>
      </c>
      <c r="G21" s="8">
        <f>'COS Internal Budget'!AW46+'COS Internal Budget'!AW47</f>
        <v>0</v>
      </c>
      <c r="H21" s="8">
        <f>'COS Internal Budget'!BF46+'COS Internal Budget'!BF47</f>
        <v>0</v>
      </c>
      <c r="I21" s="8">
        <f>'COS Internal Budget'!BO46+'COS Internal Budget'!BO47</f>
        <v>0</v>
      </c>
      <c r="J21" s="8">
        <f>'COS Internal Budget'!BX46+'COS Internal Budget'!BX47</f>
        <v>0</v>
      </c>
      <c r="K21" s="8">
        <f>'COS Internal Budget'!CG46+'COS Internal Budget'!CG47</f>
        <v>0</v>
      </c>
      <c r="L21" s="8">
        <f>'COS Internal Budget'!CP46+'COS Internal Budget'!CP47</f>
        <v>0</v>
      </c>
      <c r="M21" s="9">
        <f t="shared" si="1"/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9">
        <f t="shared" si="2"/>
        <v>0</v>
      </c>
    </row>
    <row r="22" spans="1:20" ht="12.75" customHeight="1" x14ac:dyDescent="0.3">
      <c r="A22" s="4">
        <v>56980</v>
      </c>
      <c r="B22" s="4" t="s">
        <v>28</v>
      </c>
      <c r="C22" s="8">
        <f>'COS Internal Budget'!M49</f>
        <v>0</v>
      </c>
      <c r="D22" s="8">
        <f>'COS Internal Budget'!V49</f>
        <v>0</v>
      </c>
      <c r="E22" s="8">
        <f>'COS Internal Budget'!AE49</f>
        <v>0</v>
      </c>
      <c r="F22" s="8">
        <f>'COS Internal Budget'!AN49</f>
        <v>0</v>
      </c>
      <c r="G22" s="8">
        <f>'COS Internal Budget'!AW49</f>
        <v>0</v>
      </c>
      <c r="H22" s="8">
        <f>'COS Internal Budget'!BF49</f>
        <v>0</v>
      </c>
      <c r="I22" s="8">
        <f>'COS Internal Budget'!BO49</f>
        <v>0</v>
      </c>
      <c r="J22" s="8">
        <f>'COS Internal Budget'!BX49</f>
        <v>0</v>
      </c>
      <c r="K22" s="8">
        <f>'COS Internal Budget'!CG49</f>
        <v>0</v>
      </c>
      <c r="L22" s="8">
        <f>'COS Internal Budget'!CP49</f>
        <v>0</v>
      </c>
      <c r="M22" s="9">
        <f t="shared" si="1"/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9">
        <f t="shared" si="2"/>
        <v>0</v>
      </c>
    </row>
    <row r="23" spans="1:20" ht="12.75" customHeight="1" x14ac:dyDescent="0.3">
      <c r="A23" s="4">
        <v>58950</v>
      </c>
      <c r="B23" s="4" t="s">
        <v>29</v>
      </c>
      <c r="C23" s="8">
        <f>'COS Internal Budget'!M44</f>
        <v>0</v>
      </c>
      <c r="D23" s="8">
        <f>'COS Internal Budget'!V44</f>
        <v>0</v>
      </c>
      <c r="E23" s="8">
        <f>'COS Internal Budget'!AE44</f>
        <v>0</v>
      </c>
      <c r="F23" s="8">
        <f>'COS Internal Budget'!AN44</f>
        <v>0</v>
      </c>
      <c r="G23" s="8">
        <f>'COS Internal Budget'!AW44</f>
        <v>0</v>
      </c>
      <c r="H23" s="8">
        <f>'COS Internal Budget'!BF44</f>
        <v>0</v>
      </c>
      <c r="I23" s="8">
        <f>'COS Internal Budget'!BO44</f>
        <v>0</v>
      </c>
      <c r="J23" s="8">
        <f>'COS Internal Budget'!BX44</f>
        <v>0</v>
      </c>
      <c r="K23" s="8">
        <f>'COS Internal Budget'!CG44</f>
        <v>0</v>
      </c>
      <c r="L23" s="8">
        <f>'COS Internal Budget'!CP44</f>
        <v>0</v>
      </c>
      <c r="M23" s="9">
        <f t="shared" si="1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9">
        <f t="shared" si="2"/>
        <v>0</v>
      </c>
    </row>
    <row r="24" spans="1:20" ht="12.75" customHeight="1" x14ac:dyDescent="0.3">
      <c r="A24" s="4">
        <v>58960</v>
      </c>
      <c r="B24" s="4" t="s">
        <v>30</v>
      </c>
      <c r="C24" s="8">
        <f>'COS Internal Budget'!N57</f>
        <v>0</v>
      </c>
      <c r="D24" s="8">
        <f>'COS Internal Budget'!W57</f>
        <v>0</v>
      </c>
      <c r="E24" s="8">
        <f>'COS Internal Budget'!AF57</f>
        <v>0</v>
      </c>
      <c r="F24" s="8">
        <f>'COS Internal Budget'!AO57</f>
        <v>0</v>
      </c>
      <c r="G24" s="8">
        <f>'COS Internal Budget'!AX57</f>
        <v>0</v>
      </c>
      <c r="H24" s="8">
        <f>'COS Internal Budget'!BG57</f>
        <v>0</v>
      </c>
      <c r="I24" s="8">
        <f>'COS Internal Budget'!BP57</f>
        <v>0</v>
      </c>
      <c r="J24" s="8">
        <f>'COS Internal Budget'!BY57</f>
        <v>0</v>
      </c>
      <c r="K24" s="8">
        <f>'COS Internal Budget'!CH57</f>
        <v>0</v>
      </c>
      <c r="L24" s="8">
        <f>'COS Internal Budget'!CQ57</f>
        <v>0</v>
      </c>
      <c r="M24" s="9">
        <f>SUM(C24:L24)</f>
        <v>0</v>
      </c>
      <c r="O24" s="35">
        <f>ROUND(SUM(O12:O19)*'COS Internal Budget'!$M$57,0)</f>
        <v>0</v>
      </c>
      <c r="P24" s="36">
        <f>ROUND(SUM(P12:P19)*'COS Internal Budget'!$M$57,0)</f>
        <v>0</v>
      </c>
      <c r="Q24" s="36">
        <f>ROUND(SUM(Q12:Q19)*'COS Internal Budget'!$M$57,0)</f>
        <v>0</v>
      </c>
      <c r="R24" s="36">
        <f>ROUND(SUM(R12:R19)*'COS Internal Budget'!$M$57,0)</f>
        <v>0</v>
      </c>
      <c r="S24" s="36">
        <f>ROUND(SUM(S12:S19)*'COS Internal Budget'!$M$57,0)</f>
        <v>0</v>
      </c>
      <c r="T24" s="37">
        <f t="shared" si="2"/>
        <v>0</v>
      </c>
    </row>
    <row r="25" spans="1:20" ht="12.75" customHeight="1" x14ac:dyDescent="0.3">
      <c r="B25" s="4" t="s">
        <v>9</v>
      </c>
      <c r="C25" s="9" t="e">
        <f t="shared" ref="C25:E25" si="8">SUM(C12:C24)</f>
        <v>#REF!</v>
      </c>
      <c r="D25" s="9">
        <f t="shared" si="8"/>
        <v>0</v>
      </c>
      <c r="E25" s="9">
        <f t="shared" si="8"/>
        <v>0</v>
      </c>
      <c r="F25" s="9" t="e">
        <f t="shared" ref="F25" si="9">SUM(F12:F24)</f>
        <v>#REF!</v>
      </c>
      <c r="G25" s="9">
        <f t="shared" ref="G25:L25" si="10">SUM(G12:G24)</f>
        <v>0</v>
      </c>
      <c r="H25" s="9">
        <f>SUM(H12:H24)</f>
        <v>0</v>
      </c>
      <c r="I25" s="9">
        <f t="shared" si="10"/>
        <v>0</v>
      </c>
      <c r="J25" s="9">
        <f t="shared" si="10"/>
        <v>0</v>
      </c>
      <c r="K25" s="9">
        <f t="shared" si="10"/>
        <v>0</v>
      </c>
      <c r="L25" s="9">
        <f t="shared" si="10"/>
        <v>0</v>
      </c>
      <c r="M25" s="9" t="e">
        <f t="shared" si="1"/>
        <v>#REF!</v>
      </c>
      <c r="O25" s="9">
        <f t="shared" ref="O25:S25" si="11">SUM(O12:O24)</f>
        <v>0</v>
      </c>
      <c r="P25" s="9">
        <f t="shared" si="11"/>
        <v>0</v>
      </c>
      <c r="Q25" s="9">
        <f t="shared" si="11"/>
        <v>0</v>
      </c>
      <c r="R25" s="9">
        <f t="shared" si="11"/>
        <v>0</v>
      </c>
      <c r="S25" s="9">
        <f t="shared" si="11"/>
        <v>0</v>
      </c>
      <c r="T25" s="9">
        <f t="shared" si="2"/>
        <v>0</v>
      </c>
    </row>
    <row r="26" spans="1:20" ht="12.75" customHeight="1" x14ac:dyDescent="0.3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8" t="e">
        <f>M25-'COS Internal Budget'!CS58+'COS Internal Budget'!CS30</f>
        <v>#REF!</v>
      </c>
    </row>
    <row r="27" spans="1:20" ht="12.75" customHeight="1" x14ac:dyDescent="0.25"/>
    <row r="28" spans="1:20" ht="12.75" customHeight="1" x14ac:dyDescent="0.3">
      <c r="A28" s="4" t="s">
        <v>31</v>
      </c>
    </row>
    <row r="29" spans="1:20" ht="12.75" customHeight="1" x14ac:dyDescent="0.25">
      <c r="C29" s="5" t="s">
        <v>205</v>
      </c>
      <c r="D29" s="5" t="s">
        <v>206</v>
      </c>
      <c r="E29" s="5" t="s">
        <v>207</v>
      </c>
      <c r="F29" s="5" t="s">
        <v>208</v>
      </c>
      <c r="G29" s="5" t="s">
        <v>209</v>
      </c>
      <c r="H29" s="5" t="s">
        <v>210</v>
      </c>
      <c r="I29" s="5" t="s">
        <v>211</v>
      </c>
      <c r="J29" s="5" t="s">
        <v>212</v>
      </c>
      <c r="K29" s="5" t="s">
        <v>213</v>
      </c>
      <c r="L29" s="5" t="s">
        <v>214</v>
      </c>
    </row>
    <row r="30" spans="1:20" ht="12.75" customHeight="1" x14ac:dyDescent="0.3">
      <c r="A30" s="4" t="s">
        <v>7</v>
      </c>
      <c r="B30" s="4" t="s">
        <v>8</v>
      </c>
      <c r="C30" s="4" t="str">
        <f t="shared" ref="C30:L30" si="12">C3</f>
        <v>Period 1</v>
      </c>
      <c r="D30" s="4" t="str">
        <f t="shared" si="12"/>
        <v>Period 2</v>
      </c>
      <c r="E30" s="4" t="str">
        <f t="shared" si="12"/>
        <v>Period 3</v>
      </c>
      <c r="F30" s="4" t="str">
        <f t="shared" ref="F30" si="13">F3</f>
        <v>Period 4</v>
      </c>
      <c r="G30" s="4" t="str">
        <f t="shared" ref="G30:K30" si="14">G3</f>
        <v>Period 5</v>
      </c>
      <c r="H30" s="4" t="str">
        <f t="shared" si="14"/>
        <v>Period 6</v>
      </c>
      <c r="I30" s="4" t="str">
        <f t="shared" ref="I30" si="15">I3</f>
        <v>Period 7</v>
      </c>
      <c r="J30" s="4" t="str">
        <f t="shared" si="12"/>
        <v>Period 8</v>
      </c>
      <c r="K30" s="4" t="str">
        <f t="shared" si="14"/>
        <v>Period 9</v>
      </c>
      <c r="L30" s="4" t="str">
        <f t="shared" si="12"/>
        <v>Period 10</v>
      </c>
      <c r="M30" s="4" t="s">
        <v>9</v>
      </c>
    </row>
    <row r="31" spans="1:20" ht="12.75" customHeight="1" x14ac:dyDescent="0.3">
      <c r="A31" s="4">
        <v>53000</v>
      </c>
      <c r="B31" s="4" t="s">
        <v>22</v>
      </c>
      <c r="C31" s="8">
        <f>'COS Internal Budget'!M34</f>
        <v>0</v>
      </c>
      <c r="D31" s="8">
        <f>'COS Internal Budget'!V34</f>
        <v>0</v>
      </c>
      <c r="E31" s="8">
        <f>'COS Internal Budget'!AE34</f>
        <v>0</v>
      </c>
      <c r="F31" s="8">
        <f>'COS Internal Budget'!AN34</f>
        <v>0</v>
      </c>
      <c r="G31" s="8">
        <f>'COS Internal Budget'!AW34</f>
        <v>0</v>
      </c>
      <c r="H31" s="8">
        <f>'COS Internal Budget'!AL34</f>
        <v>0</v>
      </c>
      <c r="I31" s="8">
        <f>'COS Internal Budget'!BO34</f>
        <v>0</v>
      </c>
      <c r="J31" s="8">
        <f>'COS Internal Budget'!BX34</f>
        <v>0</v>
      </c>
      <c r="K31" s="8">
        <f>'COS Internal Budget'!CG34</f>
        <v>0</v>
      </c>
      <c r="L31" s="8">
        <f>'COS Internal Budget'!CP34</f>
        <v>0</v>
      </c>
      <c r="M31" s="9">
        <f t="shared" ref="M31:M34" si="16">SUM(C31:L31)</f>
        <v>0</v>
      </c>
    </row>
    <row r="32" spans="1:20" ht="12.75" customHeight="1" x14ac:dyDescent="0.3">
      <c r="A32" s="4">
        <v>53100</v>
      </c>
      <c r="B32" s="4" t="s">
        <v>23</v>
      </c>
      <c r="C32" s="8">
        <f>'COS Internal Budget'!M32+'COS Internal Budget'!M33</f>
        <v>0</v>
      </c>
      <c r="D32" s="8">
        <f>'COS Internal Budget'!V32+'COS Internal Budget'!V33</f>
        <v>0</v>
      </c>
      <c r="E32" s="8">
        <f>'COS Internal Budget'!AE32+'COS Internal Budget'!AE33</f>
        <v>0</v>
      </c>
      <c r="F32" s="8">
        <f>'COS Internal Budget'!AN32+'COS Internal Budget'!AN33</f>
        <v>0</v>
      </c>
      <c r="G32" s="8">
        <f>'COS Internal Budget'!AW32+'COS Internal Budget'!AW33</f>
        <v>0</v>
      </c>
      <c r="H32" s="8">
        <f>'COS Internal Budget'!AL32+'COS Internal Budget'!AL33</f>
        <v>0</v>
      </c>
      <c r="I32" s="8">
        <f>'COS Internal Budget'!BO32+'COS Internal Budget'!BO33</f>
        <v>0</v>
      </c>
      <c r="J32" s="8">
        <f>'COS Internal Budget'!BX32+'COS Internal Budget'!BX33</f>
        <v>0</v>
      </c>
      <c r="K32" s="8">
        <f>'COS Internal Budget'!CG32+'COS Internal Budget'!CG33</f>
        <v>0</v>
      </c>
      <c r="L32" s="8">
        <f>'COS Internal Budget'!CP32+'COS Internal Budget'!CP33</f>
        <v>0</v>
      </c>
      <c r="M32" s="9">
        <f t="shared" si="16"/>
        <v>0</v>
      </c>
    </row>
    <row r="33" spans="1:13" ht="12.75" customHeight="1" x14ac:dyDescent="0.3">
      <c r="A33" s="4">
        <v>56000</v>
      </c>
      <c r="B33" s="4" t="s">
        <v>27</v>
      </c>
      <c r="C33" s="8">
        <f>'COS Internal Budget'!M31</f>
        <v>0</v>
      </c>
      <c r="D33" s="8">
        <f>'COS Internal Budget'!V31</f>
        <v>0</v>
      </c>
      <c r="E33" s="8">
        <f>'COS Internal Budget'!AE31</f>
        <v>0</v>
      </c>
      <c r="F33" s="8">
        <f>'COS Internal Budget'!AN31</f>
        <v>0</v>
      </c>
      <c r="G33" s="8">
        <f>'COS Internal Budget'!AW31</f>
        <v>0</v>
      </c>
      <c r="H33" s="8">
        <f>'COS Internal Budget'!AL31</f>
        <v>0</v>
      </c>
      <c r="I33" s="8">
        <f>'COS Internal Budget'!BO31</f>
        <v>0</v>
      </c>
      <c r="J33" s="8">
        <f>'COS Internal Budget'!BX31</f>
        <v>0</v>
      </c>
      <c r="K33" s="8">
        <f>'COS Internal Budget'!CG31</f>
        <v>0</v>
      </c>
      <c r="L33" s="8">
        <f>'COS Internal Budget'!CP31</f>
        <v>0</v>
      </c>
      <c r="M33" s="9">
        <f t="shared" si="16"/>
        <v>0</v>
      </c>
    </row>
    <row r="34" spans="1:13" ht="12.75" customHeight="1" x14ac:dyDescent="0.3">
      <c r="B34" s="4" t="s">
        <v>9</v>
      </c>
      <c r="C34" s="9">
        <f t="shared" ref="C34:L34" si="17">SUM(C31:C33)</f>
        <v>0</v>
      </c>
      <c r="D34" s="9">
        <f t="shared" si="17"/>
        <v>0</v>
      </c>
      <c r="E34" s="9">
        <f t="shared" si="17"/>
        <v>0</v>
      </c>
      <c r="F34" s="9">
        <f t="shared" ref="F34" si="18">SUM(F31:F33)</f>
        <v>0</v>
      </c>
      <c r="G34" s="9">
        <f t="shared" ref="G34:K34" si="19">SUM(G31:G33)</f>
        <v>0</v>
      </c>
      <c r="H34" s="9">
        <f t="shared" si="19"/>
        <v>0</v>
      </c>
      <c r="I34" s="9">
        <f t="shared" si="19"/>
        <v>0</v>
      </c>
      <c r="J34" s="9">
        <f t="shared" si="19"/>
        <v>0</v>
      </c>
      <c r="K34" s="9">
        <f t="shared" si="19"/>
        <v>0</v>
      </c>
      <c r="L34" s="9">
        <f t="shared" si="17"/>
        <v>0</v>
      </c>
      <c r="M34" s="9">
        <f t="shared" si="16"/>
        <v>0</v>
      </c>
    </row>
    <row r="35" spans="1:13" ht="12.75" customHeight="1" x14ac:dyDescent="0.25">
      <c r="M35" s="8">
        <f>M34-'COS Internal Budget'!CS30</f>
        <v>0</v>
      </c>
    </row>
    <row r="36" spans="1:13" s="44" customFormat="1" ht="15" customHeight="1" x14ac:dyDescent="0.25">
      <c r="A36" s="2">
        <v>56960</v>
      </c>
      <c r="B36" s="44" t="s">
        <v>222</v>
      </c>
    </row>
    <row r="37" spans="1:13" s="3" customFormat="1" ht="13" x14ac:dyDescent="0.3">
      <c r="A37" s="12">
        <v>56961</v>
      </c>
      <c r="B37" s="12" t="s">
        <v>225</v>
      </c>
    </row>
    <row r="38" spans="1:13" s="3" customFormat="1" ht="12.75" customHeight="1" x14ac:dyDescent="0.3">
      <c r="A38" s="6">
        <v>56962</v>
      </c>
      <c r="B38" s="12" t="s">
        <v>220</v>
      </c>
    </row>
    <row r="39" spans="1:13" s="3" customFormat="1" ht="12.75" customHeight="1" x14ac:dyDescent="0.3">
      <c r="A39" s="12">
        <v>56963</v>
      </c>
      <c r="B39" s="12" t="s">
        <v>221</v>
      </c>
    </row>
    <row r="40" spans="1:13" s="3" customFormat="1" ht="12.75" customHeight="1" x14ac:dyDescent="0.3">
      <c r="A40" s="12">
        <v>56964</v>
      </c>
      <c r="B40" s="12" t="s">
        <v>223</v>
      </c>
    </row>
    <row r="41" spans="1:13" ht="12.75" customHeight="1" x14ac:dyDescent="0.25">
      <c r="A41" s="12">
        <v>56967</v>
      </c>
      <c r="B41" s="12" t="s">
        <v>224</v>
      </c>
    </row>
    <row r="42" spans="1:13" ht="12.75" customHeight="1" x14ac:dyDescent="0.25">
      <c r="A42" s="12">
        <v>56969</v>
      </c>
      <c r="B42" s="12" t="s">
        <v>243</v>
      </c>
    </row>
    <row r="43" spans="1:13" ht="12.75" customHeight="1" x14ac:dyDescent="0.25"/>
    <row r="44" spans="1:13" ht="12.75" customHeight="1" x14ac:dyDescent="0.25">
      <c r="B44" s="41" t="s">
        <v>245</v>
      </c>
      <c r="C44" s="42"/>
      <c r="D44" s="42"/>
    </row>
    <row r="45" spans="1:13" ht="12.75" customHeight="1" x14ac:dyDescent="0.25">
      <c r="B45" s="51" t="s">
        <v>246</v>
      </c>
    </row>
  </sheetData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outlinePr summaryBelow="0"/>
    <pageSetUpPr fitToPage="1"/>
  </sheetPr>
  <dimension ref="A1:DM64"/>
  <sheetViews>
    <sheetView tabSelected="1" zoomScale="125" zoomScaleNormal="125" workbookViewId="0">
      <pane xSplit="6" ySplit="3" topLeftCell="G36" activePane="bottomRight" state="frozen"/>
      <selection activeCell="G78" sqref="G78"/>
      <selection pane="topRight" activeCell="G78" sqref="G78"/>
      <selection pane="bottomLeft" activeCell="G78" sqref="G78"/>
      <selection pane="bottomRight" activeCell="I47" sqref="I47"/>
    </sheetView>
  </sheetViews>
  <sheetFormatPr defaultColWidth="14.453125" defaultRowHeight="15" customHeight="1" outlineLevelRow="1" outlineLevelCol="2" x14ac:dyDescent="0.25"/>
  <cols>
    <col min="1" max="1" width="7" style="68" hidden="1" customWidth="1"/>
    <col min="2" max="2" width="7.54296875" style="68" bestFit="1" customWidth="1"/>
    <col min="3" max="3" width="5.54296875" style="68" customWidth="1"/>
    <col min="4" max="4" width="12.54296875" style="68" customWidth="1"/>
    <col min="5" max="5" width="8.1796875" style="68" bestFit="1" customWidth="1"/>
    <col min="6" max="6" width="1.81640625" style="68" customWidth="1"/>
    <col min="7" max="7" width="15" style="68" bestFit="1" customWidth="1" outlineLevel="1"/>
    <col min="8" max="8" width="5.453125" style="68" customWidth="1" outlineLevel="1"/>
    <col min="9" max="9" width="7.81640625" style="68" bestFit="1" customWidth="1" outlineLevel="1"/>
    <col min="10" max="10" width="5.81640625" style="68" hidden="1" customWidth="1" outlineLevel="2"/>
    <col min="11" max="11" width="6.1796875" style="68" hidden="1" customWidth="1" outlineLevel="2"/>
    <col min="12" max="12" width="5.81640625" style="68" hidden="1" customWidth="1" outlineLevel="2"/>
    <col min="13" max="13" width="7.453125" style="68" customWidth="1" outlineLevel="1" collapsed="1"/>
    <col min="14" max="14" width="8.453125" style="68" customWidth="1" outlineLevel="1"/>
    <col min="15" max="15" width="1.54296875" style="68" customWidth="1"/>
    <col min="16" max="16" width="15" style="68" bestFit="1" customWidth="1" outlineLevel="1"/>
    <col min="17" max="17" width="5.1796875" style="68" customWidth="1" outlineLevel="1"/>
    <col min="18" max="18" width="7.81640625" style="68" bestFit="1" customWidth="1" outlineLevel="1"/>
    <col min="19" max="19" width="5.81640625" style="68" hidden="1" customWidth="1" outlineLevel="2"/>
    <col min="20" max="20" width="5.1796875" style="68" hidden="1" customWidth="1" outlineLevel="2"/>
    <col min="21" max="21" width="4.453125" style="68" hidden="1" customWidth="1" outlineLevel="2"/>
    <col min="22" max="22" width="7.453125" style="68" customWidth="1" outlineLevel="1" collapsed="1"/>
    <col min="23" max="23" width="8.54296875" style="68" customWidth="1" outlineLevel="1"/>
    <col min="24" max="24" width="1.54296875" style="68" customWidth="1"/>
    <col min="25" max="25" width="15" style="68" bestFit="1" customWidth="1" outlineLevel="1"/>
    <col min="26" max="26" width="5.1796875" style="68" customWidth="1" outlineLevel="1"/>
    <col min="27" max="27" width="7.81640625" style="68" bestFit="1" customWidth="1" outlineLevel="1"/>
    <col min="28" max="28" width="5.81640625" style="68" hidden="1" customWidth="1" outlineLevel="2"/>
    <col min="29" max="29" width="5.1796875" style="68" hidden="1" customWidth="1" outlineLevel="2"/>
    <col min="30" max="30" width="4.453125" style="68" hidden="1" customWidth="1" outlineLevel="2"/>
    <col min="31" max="31" width="7.453125" style="68" customWidth="1" outlineLevel="1" collapsed="1"/>
    <col min="32" max="32" width="8.453125" style="68" customWidth="1" outlineLevel="1"/>
    <col min="33" max="33" width="1.54296875" style="68" customWidth="1"/>
    <col min="34" max="34" width="15" style="68" bestFit="1" customWidth="1" outlineLevel="1"/>
    <col min="35" max="35" width="5.1796875" style="68" customWidth="1" outlineLevel="1"/>
    <col min="36" max="36" width="7.81640625" style="68" bestFit="1" customWidth="1" outlineLevel="1"/>
    <col min="37" max="37" width="5.81640625" style="68" hidden="1" customWidth="1" outlineLevel="2"/>
    <col min="38" max="38" width="5.1796875" style="68" hidden="1" customWidth="1" outlineLevel="2"/>
    <col min="39" max="39" width="4.453125" style="68" hidden="1" customWidth="1" outlineLevel="2"/>
    <col min="40" max="40" width="7.453125" style="68" customWidth="1" outlineLevel="1" collapsed="1"/>
    <col min="41" max="41" width="8.453125" style="68" customWidth="1" outlineLevel="1"/>
    <col min="42" max="42" width="1.81640625" style="68" customWidth="1"/>
    <col min="43" max="43" width="15" style="68" hidden="1" customWidth="1" outlineLevel="1"/>
    <col min="44" max="44" width="5.1796875" style="68" hidden="1" customWidth="1" outlineLevel="1"/>
    <col min="45" max="45" width="7.81640625" style="68" hidden="1" customWidth="1" outlineLevel="1"/>
    <col min="46" max="46" width="5.81640625" style="68" hidden="1" customWidth="1" outlineLevel="2"/>
    <col min="47" max="47" width="5.1796875" style="68" hidden="1" customWidth="1" outlineLevel="2"/>
    <col min="48" max="48" width="4.453125" style="68" hidden="1" customWidth="1" outlineLevel="2"/>
    <col min="49" max="49" width="7.453125" style="68" hidden="1" customWidth="1" outlineLevel="1" collapsed="1"/>
    <col min="50" max="50" width="8.453125" style="68" hidden="1" customWidth="1" outlineLevel="1"/>
    <col min="51" max="51" width="1.81640625" style="68" customWidth="1" collapsed="1"/>
    <col min="52" max="52" width="15" style="68" hidden="1" customWidth="1" outlineLevel="1"/>
    <col min="53" max="53" width="5.1796875" style="68" hidden="1" customWidth="1" outlineLevel="1"/>
    <col min="54" max="54" width="7.81640625" style="68" hidden="1" customWidth="1" outlineLevel="1"/>
    <col min="55" max="55" width="5.81640625" style="68" hidden="1" customWidth="1" outlineLevel="2"/>
    <col min="56" max="56" width="5.26953125" style="68" hidden="1" customWidth="1" outlineLevel="2"/>
    <col min="57" max="57" width="4.453125" style="68" hidden="1" customWidth="1" outlineLevel="2"/>
    <col min="58" max="58" width="7.453125" style="68" hidden="1" customWidth="1" outlineLevel="1" collapsed="1"/>
    <col min="59" max="59" width="8.453125" style="68" hidden="1" customWidth="1" outlineLevel="1"/>
    <col min="60" max="60" width="1.81640625" style="68" customWidth="1" collapsed="1"/>
    <col min="61" max="61" width="15" style="68" hidden="1" customWidth="1" outlineLevel="1"/>
    <col min="62" max="62" width="5.1796875" style="68" hidden="1" customWidth="1" outlineLevel="1"/>
    <col min="63" max="63" width="7.81640625" style="68" hidden="1" customWidth="1" outlineLevel="1"/>
    <col min="64" max="64" width="5.81640625" style="68" hidden="1" customWidth="1" outlineLevel="2"/>
    <col min="65" max="65" width="5.1796875" style="68" hidden="1" customWidth="1" outlineLevel="2"/>
    <col min="66" max="66" width="4.453125" style="68" hidden="1" customWidth="1" outlineLevel="2"/>
    <col min="67" max="67" width="7.453125" style="68" hidden="1" customWidth="1" outlineLevel="1" collapsed="1"/>
    <col min="68" max="68" width="8.453125" style="68" hidden="1" customWidth="1" outlineLevel="1"/>
    <col min="69" max="69" width="1.81640625" style="68" customWidth="1" collapsed="1"/>
    <col min="70" max="70" width="15" style="68" hidden="1" customWidth="1" outlineLevel="1"/>
    <col min="71" max="71" width="5.1796875" style="68" hidden="1" customWidth="1" outlineLevel="1"/>
    <col min="72" max="72" width="7.81640625" style="68" hidden="1" customWidth="1" outlineLevel="1"/>
    <col min="73" max="73" width="5.81640625" style="68" hidden="1" customWidth="1" outlineLevel="2"/>
    <col min="74" max="74" width="5.1796875" style="68" hidden="1" customWidth="1" outlineLevel="2"/>
    <col min="75" max="75" width="4.453125" style="68" hidden="1" customWidth="1" outlineLevel="2"/>
    <col min="76" max="76" width="7.453125" style="68" hidden="1" customWidth="1" outlineLevel="1" collapsed="1"/>
    <col min="77" max="77" width="8.453125" style="68" hidden="1" customWidth="1" outlineLevel="1"/>
    <col min="78" max="78" width="1.81640625" style="68" customWidth="1" collapsed="1"/>
    <col min="79" max="79" width="15" style="68" hidden="1" customWidth="1" outlineLevel="1"/>
    <col min="80" max="80" width="5.1796875" style="68" hidden="1" customWidth="1" outlineLevel="1"/>
    <col min="81" max="81" width="7.81640625" style="68" hidden="1" customWidth="1" outlineLevel="1"/>
    <col min="82" max="82" width="5.81640625" style="68" hidden="1" customWidth="1" outlineLevel="2"/>
    <col min="83" max="83" width="5.1796875" style="68" hidden="1" customWidth="1" outlineLevel="2"/>
    <col min="84" max="84" width="4.453125" style="68" hidden="1" customWidth="1" outlineLevel="2"/>
    <col min="85" max="85" width="7.453125" style="68" hidden="1" customWidth="1" outlineLevel="1" collapsed="1"/>
    <col min="86" max="86" width="8.453125" style="68" hidden="1" customWidth="1" outlineLevel="1"/>
    <col min="87" max="87" width="1.81640625" style="68" customWidth="1" collapsed="1"/>
    <col min="88" max="88" width="15" style="68" hidden="1" customWidth="1" outlineLevel="1"/>
    <col min="89" max="89" width="5.1796875" style="68" hidden="1" customWidth="1" outlineLevel="1"/>
    <col min="90" max="90" width="7.81640625" style="68" hidden="1" customWidth="1" outlineLevel="1"/>
    <col min="91" max="91" width="5.81640625" style="68" hidden="1" customWidth="1" outlineLevel="2"/>
    <col min="92" max="92" width="5.1796875" style="68" hidden="1" customWidth="1" outlineLevel="2"/>
    <col min="93" max="93" width="4.453125" style="68" hidden="1" customWidth="1" outlineLevel="2"/>
    <col min="94" max="94" width="7.453125" style="68" hidden="1" customWidth="1" outlineLevel="1" collapsed="1"/>
    <col min="95" max="95" width="8.453125" style="68" hidden="1" customWidth="1" outlineLevel="1"/>
    <col min="96" max="96" width="1.81640625" style="68" customWidth="1" collapsed="1"/>
    <col min="97" max="97" width="9" style="68" bestFit="1" customWidth="1"/>
    <col min="98" max="98" width="9" style="68" customWidth="1"/>
    <col min="99" max="99" width="19.1796875" style="68" customWidth="1"/>
    <col min="100" max="115" width="8.81640625" style="54" customWidth="1"/>
    <col min="116" max="117" width="14.453125" style="40"/>
    <col min="118" max="16384" width="14.453125" style="68"/>
  </cols>
  <sheetData>
    <row r="1" spans="1:99" ht="15.5" x14ac:dyDescent="0.35">
      <c r="B1" s="323" t="s">
        <v>215</v>
      </c>
      <c r="C1" s="324"/>
      <c r="D1" s="324"/>
      <c r="E1" s="325"/>
      <c r="F1" s="31"/>
      <c r="G1" s="331" t="s">
        <v>176</v>
      </c>
      <c r="H1" s="332"/>
      <c r="I1" s="332"/>
      <c r="J1" s="332"/>
      <c r="K1" s="332"/>
      <c r="L1" s="332"/>
      <c r="M1" s="332"/>
      <c r="N1" s="333"/>
      <c r="O1" s="31"/>
      <c r="P1" s="331" t="s">
        <v>177</v>
      </c>
      <c r="Q1" s="332"/>
      <c r="R1" s="332"/>
      <c r="S1" s="332"/>
      <c r="T1" s="332"/>
      <c r="U1" s="332"/>
      <c r="V1" s="332"/>
      <c r="W1" s="334"/>
      <c r="X1" s="31"/>
      <c r="Y1" s="331" t="s">
        <v>32</v>
      </c>
      <c r="Z1" s="332"/>
      <c r="AA1" s="332"/>
      <c r="AB1" s="332"/>
      <c r="AC1" s="332"/>
      <c r="AD1" s="332"/>
      <c r="AE1" s="332"/>
      <c r="AF1" s="334"/>
      <c r="AG1" s="31"/>
      <c r="AH1" s="331" t="s">
        <v>33</v>
      </c>
      <c r="AI1" s="332"/>
      <c r="AJ1" s="332"/>
      <c r="AK1" s="332"/>
      <c r="AL1" s="332"/>
      <c r="AM1" s="332"/>
      <c r="AN1" s="332"/>
      <c r="AO1" s="334"/>
      <c r="AP1" s="31"/>
      <c r="AQ1" s="331" t="s">
        <v>34</v>
      </c>
      <c r="AR1" s="332"/>
      <c r="AS1" s="332"/>
      <c r="AT1" s="332"/>
      <c r="AU1" s="332"/>
      <c r="AV1" s="332"/>
      <c r="AW1" s="332"/>
      <c r="AX1" s="334"/>
      <c r="AY1" s="31"/>
      <c r="AZ1" s="331" t="s">
        <v>252</v>
      </c>
      <c r="BA1" s="332"/>
      <c r="BB1" s="332"/>
      <c r="BC1" s="332"/>
      <c r="BD1" s="332"/>
      <c r="BE1" s="332"/>
      <c r="BF1" s="332"/>
      <c r="BG1" s="334"/>
      <c r="BH1" s="31"/>
      <c r="BI1" s="331" t="s">
        <v>251</v>
      </c>
      <c r="BJ1" s="332"/>
      <c r="BK1" s="332"/>
      <c r="BL1" s="332"/>
      <c r="BM1" s="332"/>
      <c r="BN1" s="332"/>
      <c r="BO1" s="332"/>
      <c r="BP1" s="334"/>
      <c r="BQ1" s="31"/>
      <c r="BR1" s="331" t="s">
        <v>250</v>
      </c>
      <c r="BS1" s="332"/>
      <c r="BT1" s="332"/>
      <c r="BU1" s="332"/>
      <c r="BV1" s="332"/>
      <c r="BW1" s="332"/>
      <c r="BX1" s="332"/>
      <c r="BY1" s="334"/>
      <c r="BZ1" s="31"/>
      <c r="CA1" s="331" t="s">
        <v>249</v>
      </c>
      <c r="CB1" s="332"/>
      <c r="CC1" s="332"/>
      <c r="CD1" s="332"/>
      <c r="CE1" s="332"/>
      <c r="CF1" s="332"/>
      <c r="CG1" s="332"/>
      <c r="CH1" s="334"/>
      <c r="CI1" s="31"/>
      <c r="CJ1" s="331" t="s">
        <v>248</v>
      </c>
      <c r="CK1" s="332"/>
      <c r="CL1" s="332"/>
      <c r="CM1" s="332"/>
      <c r="CN1" s="332"/>
      <c r="CO1" s="332"/>
      <c r="CP1" s="332"/>
      <c r="CQ1" s="334"/>
      <c r="CR1" s="31"/>
      <c r="CS1" s="331" t="s">
        <v>35</v>
      </c>
      <c r="CT1" s="337"/>
      <c r="CU1" s="338"/>
    </row>
    <row r="2" spans="1:99" ht="15" customHeight="1" x14ac:dyDescent="0.3">
      <c r="A2" s="69"/>
      <c r="B2" s="326"/>
      <c r="C2" s="327"/>
      <c r="D2" s="327"/>
      <c r="E2" s="328"/>
      <c r="F2" s="31"/>
      <c r="G2" s="335" t="s">
        <v>253</v>
      </c>
      <c r="H2" s="336"/>
      <c r="I2" s="336"/>
      <c r="L2" s="116"/>
      <c r="M2" s="187" t="s">
        <v>161</v>
      </c>
      <c r="N2" s="117"/>
      <c r="O2" s="31"/>
      <c r="P2" s="335" t="s">
        <v>253</v>
      </c>
      <c r="Q2" s="336"/>
      <c r="R2" s="336"/>
      <c r="S2" s="160"/>
      <c r="T2" s="160"/>
      <c r="U2" s="160"/>
      <c r="V2" s="187" t="str">
        <f>IF(M2="FY23-24", "FY24-25", IF(M2="FY24-25", "FY25-26", IF(M2="FY25-26", "FY26-27", IF(M2="FY26-27", "FY27-28", IF(M2="FY27-28", "FY28-29", IF(M2="FY28-29", "FY29-30", IF(M2="FY29-30", "FY30-31", IF(M2="FY30-31", "FY31-32", IF(M2="FY31-32", "FY32-33", IF(M2="FY32-33", "FY33-34", IF(M2="FY33-34", "FY34-35", IF(M2="FY34-35", "FY35-36", IF(M2="FY35-36", "FY36-37", IF(M2="FY36-37", "FY37-38", IF(M2="FY37-38", "FY38-39", IF(M2="FY38-39", "FY39-40", IF(M2="FY39-40", "ERROR", "ERROR" )))))))))))))))))</f>
        <v>FY27-28</v>
      </c>
      <c r="W2" s="117"/>
      <c r="X2" s="31"/>
      <c r="Y2" s="335" t="s">
        <v>253</v>
      </c>
      <c r="Z2" s="336"/>
      <c r="AA2" s="336"/>
      <c r="AB2" s="160"/>
      <c r="AC2" s="160"/>
      <c r="AD2" s="160"/>
      <c r="AE2" s="187" t="str">
        <f>IF(V2="FY23-24", "FY24-25", IF(V2="FY24-25", "FY25-26", IF(V2="FY25-26", "FY26-27", IF(V2="FY26-27", "FY27-28", IF(V2="FY27-28", "FY28-29", IF(V2="FY28-29", "FY29-30", IF(V2="FY29-30", "FY30-31", IF(V2="FY30-31", "FY31-32", IF(V2="FY31-32", "FY32-33", IF(V2="FY32-33", "FY33-34", IF(V2="FY33-34", "FY34-35", IF(V2="FY34-35", "FY35-36", IF(V2="FY35-36", "FY36-37", IF(V2="FY36-37", "FY37-38", IF(V2="FY37-38", "FY38-39", IF(V2="FY38-39", "FY39-40", IF(V2="FY39-40", "ERROR", "ERROR" )))))))))))))))))</f>
        <v>FY28-29</v>
      </c>
      <c r="AF2" s="117"/>
      <c r="AG2" s="31"/>
      <c r="AH2" s="335" t="s">
        <v>253</v>
      </c>
      <c r="AI2" s="336"/>
      <c r="AJ2" s="336"/>
      <c r="AK2" s="160"/>
      <c r="AL2" s="160"/>
      <c r="AM2" s="160"/>
      <c r="AN2" s="187" t="str">
        <f>IF(AE2="FY23-24", "FY24-25", IF(AE2="FY24-25", "FY25-26", IF(AE2="FY25-26", "FY26-27", IF(AE2="FY26-27", "FY27-28", IF(AE2="FY27-28", "FY28-29", IF(AE2="FY28-29", "FY29-30", IF(AE2="FY29-30", "FY30-31", IF(AE2="FY30-31", "FY31-32", IF(AE2="FY31-32", "FY32-33", IF(AE2="FY32-33", "FY33-34", IF(AE2="FY33-34", "FY34-35", IF(AE2="FY34-35", "FY35-36", IF(AE2="FY35-36", "FY36-37", IF(AE2="FY36-37", "FY37-38", IF(AE2="FY37-38", "FY38-39", IF(AE2="FY38-39", "FY39-40", IF(AE2="FY39-40", "ERROR", "ERROR" )))))))))))))))))</f>
        <v>FY29-30</v>
      </c>
      <c r="AO2" s="117"/>
      <c r="AP2" s="31"/>
      <c r="AQ2" s="335" t="s">
        <v>253</v>
      </c>
      <c r="AR2" s="336"/>
      <c r="AS2" s="336"/>
      <c r="AT2" s="160"/>
      <c r="AU2" s="160"/>
      <c r="AV2" s="160"/>
      <c r="AW2" s="187" t="str">
        <f>IF(AN2="FY23-24", "FY24-25", IF(AN2="FY24-25", "FY25-26", IF(AN2="FY25-26", "FY26-27", IF(AN2="FY26-27", "FY27-28", IF(AN2="FY27-28", "FY28-29", IF(AN2="FY28-29", "FY29-30", IF(AN2="FY29-30", "FY30-31", IF(AN2="FY30-31", "FY31-32", IF(AN2="FY31-32", "FY32-33", IF(AN2="FY32-33", "FY33-34", IF(AN2="FY33-34", "FY34-35", IF(AN2="FY34-35", "FY35-36", IF(AN2="FY35-36", "FY36-37", IF(AN2="FY36-37", "FY37-38", IF(AN2="FY37-38", "FY38-39", IF(AN2="FY38-39", "FY39-40", IF(AN2="FY39-40", "ERROR", "ERROR" )))))))))))))))))</f>
        <v>FY30-31</v>
      </c>
      <c r="AX2" s="117"/>
      <c r="AY2" s="31"/>
      <c r="AZ2" s="335" t="s">
        <v>253</v>
      </c>
      <c r="BA2" s="336"/>
      <c r="BB2" s="336"/>
      <c r="BC2" s="160"/>
      <c r="BD2" s="160"/>
      <c r="BE2" s="160"/>
      <c r="BF2" s="187" t="str">
        <f>IF(AW2="FY23-24", "FY24-25", IF(AW2="FY24-25", "FY25-26", IF(AW2="FY25-26", "FY26-27", IF(AW2="FY26-27", "FY27-28", IF(AW2="FY27-28", "FY28-29", IF(AW2="FY28-29", "FY29-30", IF(AW2="FY29-30", "FY30-31", IF(AW2="FY30-31", "FY31-32", IF(AW2="FY31-32", "FY32-33", IF(AW2="FY32-33", "FY33-34", IF(AW2="FY33-34", "FY34-35", IF(AW2="FY34-35", "FY35-36", IF(AW2="FY35-36", "FY36-37", IF(AW2="FY36-37", "FY37-38", IF(AW2="FY37-38", "FY38-39", IF(AW2="FY38-39", "FY39-40", IF(AW2="FY39-40", "ERROR", "ERROR" )))))))))))))))))</f>
        <v>FY31-32</v>
      </c>
      <c r="BG2" s="117"/>
      <c r="BH2" s="31"/>
      <c r="BI2" s="335" t="s">
        <v>253</v>
      </c>
      <c r="BJ2" s="336"/>
      <c r="BK2" s="336"/>
      <c r="BL2" s="160"/>
      <c r="BM2" s="160"/>
      <c r="BN2" s="160"/>
      <c r="BO2" s="187" t="str">
        <f>IF(BF2="FY23-24", "FY24-25", IF(BF2="FY24-25", "FY25-26", IF(BF2="FY25-26", "FY26-27", IF(BF2="FY26-27", "FY27-28", IF(BF2="FY27-28", "FY28-29", IF(BF2="FY28-29", "FY29-30", IF(BF2="FY29-30", "FY30-31", IF(BF2="FY30-31", "FY31-32", IF(BF2="FY31-32", "FY32-33", IF(BF2="FY32-33", "FY33-34", IF(BF2="FY33-34", "FY34-35", IF(BF2="FY34-35", "FY35-36", IF(BF2="FY35-36", "FY36-37", IF(BF2="FY36-37", "FY37-38", IF(BF2="FY37-38", "FY38-39", IF(BF2="FY38-39", "FY39-40", IF(BF2="FY39-40", "ERROR", "ERROR" )))))))))))))))))</f>
        <v>FY32-33</v>
      </c>
      <c r="BP2" s="117"/>
      <c r="BQ2" s="31"/>
      <c r="BR2" s="335" t="s">
        <v>253</v>
      </c>
      <c r="BS2" s="336"/>
      <c r="BT2" s="336"/>
      <c r="BU2" s="160"/>
      <c r="BV2" s="160"/>
      <c r="BW2" s="160"/>
      <c r="BX2" s="187" t="str">
        <f>IF(BO2="FY23-24", "FY24-25", IF(BO2="FY24-25", "FY25-26", IF(BO2="FY25-26", "FY26-27", IF(BO2="FY26-27", "FY27-28", IF(BO2="FY27-28", "FY28-29", IF(BO2="FY28-29", "FY29-30", IF(BO2="FY29-30", "FY30-31", IF(BO2="FY30-31", "FY31-32", IF(BO2="FY31-32", "FY32-33", IF(BO2="FY32-33", "FY33-34", IF(BO2="FY33-34", "FY34-35", IF(BO2="FY34-35", "FY35-36", IF(BO2="FY35-36", "FY36-37", IF(BO2="FY36-37", "FY37-38", IF(BO2="FY37-38", "FY38-39", IF(BO2="FY38-39", "FY39-40", IF(BO2="FY39-40", "ERROR", "ERROR" )))))))))))))))))</f>
        <v>FY33-34</v>
      </c>
      <c r="BY2" s="117"/>
      <c r="BZ2" s="31"/>
      <c r="CA2" s="335" t="s">
        <v>253</v>
      </c>
      <c r="CB2" s="336"/>
      <c r="CC2" s="336"/>
      <c r="CD2" s="160"/>
      <c r="CE2" s="160"/>
      <c r="CF2" s="160"/>
      <c r="CG2" s="187" t="str">
        <f>IF(BX2="FY23-24", "FY24-25", IF(BX2="FY24-25", "FY25-26", IF(BX2="FY25-26", "FY26-27", IF(BX2="FY26-27", "FY27-28", IF(BX2="FY27-28", "FY28-29", IF(BX2="FY28-29", "FY29-30", IF(BX2="FY29-30", "FY30-31", IF(BX2="FY30-31", "FY31-32", IF(BX2="FY31-32", "FY32-33", IF(BX2="FY32-33", "FY33-34", IF(BX2="FY33-34", "FY34-35", IF(BX2="FY34-35", "FY35-36", IF(BX2="FY35-36", "FY36-37", IF(BX2="FY36-37", "FY37-38", IF(BX2="FY37-38", "FY38-39", IF(BX2="FY38-39", "FY39-40", IF(BX2="FY39-40", "ERROR", "ERROR" )))))))))))))))))</f>
        <v>FY34-35</v>
      </c>
      <c r="CH2" s="117"/>
      <c r="CI2" s="31"/>
      <c r="CJ2" s="335" t="s">
        <v>253</v>
      </c>
      <c r="CK2" s="336"/>
      <c r="CL2" s="336"/>
      <c r="CM2" s="160"/>
      <c r="CN2" s="160"/>
      <c r="CO2" s="160"/>
      <c r="CP2" s="187" t="str">
        <f>IF(CG2="FY23-24", "FY24-25", IF(CG2="FY24-25", "FY25-26", IF(CG2="FY25-26", "FY26-27", IF(CG2="FY26-27", "FY27-28", IF(CG2="FY27-28", "FY28-29", IF(CG2="FY28-29", "FY29-30", IF(CG2="FY29-30", "FY30-31", IF(CG2="FY30-31", "FY31-32", IF(CG2="FY31-32", "FY32-33", IF(CG2="FY32-33", "FY33-34", IF(CG2="FY33-34", "FY34-35", IF(CG2="FY34-35", "FY35-36", IF(CG2="FY35-36", "FY36-37", IF(CG2="FY36-37", "FY37-38", IF(CG2="FY37-38", "FY38-39", IF(CG2="FY38-39", "FY39-40", IF(CG2="FY39-40", "ERROR", "ERROR" )))))))))))))))))</f>
        <v>FY35-36</v>
      </c>
      <c r="CQ2" s="117"/>
      <c r="CR2" s="31"/>
      <c r="CS2" s="109"/>
      <c r="CT2" s="109"/>
      <c r="CU2" s="109"/>
    </row>
    <row r="3" spans="1:99" s="40" customFormat="1" ht="31.5" x14ac:dyDescent="0.25">
      <c r="A3" s="70" t="s">
        <v>36</v>
      </c>
      <c r="B3" s="172" t="s">
        <v>37</v>
      </c>
      <c r="C3" s="173" t="s">
        <v>38</v>
      </c>
      <c r="D3" s="173" t="s">
        <v>39</v>
      </c>
      <c r="E3" s="174" t="s">
        <v>40</v>
      </c>
      <c r="F3" s="52"/>
      <c r="G3" s="175" t="s">
        <v>41</v>
      </c>
      <c r="H3" s="173" t="s">
        <v>42</v>
      </c>
      <c r="I3" s="119" t="s">
        <v>43</v>
      </c>
      <c r="J3" s="120" t="s">
        <v>244</v>
      </c>
      <c r="K3" s="121" t="s">
        <v>44</v>
      </c>
      <c r="L3" s="121" t="s">
        <v>45</v>
      </c>
      <c r="M3" s="119" t="s">
        <v>44</v>
      </c>
      <c r="N3" s="122" t="s">
        <v>46</v>
      </c>
      <c r="O3" s="52"/>
      <c r="P3" s="175" t="s">
        <v>41</v>
      </c>
      <c r="Q3" s="173" t="s">
        <v>42</v>
      </c>
      <c r="R3" s="119" t="s">
        <v>43</v>
      </c>
      <c r="S3" s="120" t="s">
        <v>244</v>
      </c>
      <c r="T3" s="121" t="s">
        <v>44</v>
      </c>
      <c r="U3" s="121" t="s">
        <v>45</v>
      </c>
      <c r="V3" s="119" t="s">
        <v>44</v>
      </c>
      <c r="W3" s="122" t="s">
        <v>46</v>
      </c>
      <c r="X3" s="52"/>
      <c r="Y3" s="175" t="s">
        <v>41</v>
      </c>
      <c r="Z3" s="173" t="s">
        <v>42</v>
      </c>
      <c r="AA3" s="119" t="s">
        <v>43</v>
      </c>
      <c r="AB3" s="120" t="s">
        <v>244</v>
      </c>
      <c r="AC3" s="121" t="s">
        <v>44</v>
      </c>
      <c r="AD3" s="121" t="s">
        <v>45</v>
      </c>
      <c r="AE3" s="119" t="s">
        <v>44</v>
      </c>
      <c r="AF3" s="122" t="s">
        <v>46</v>
      </c>
      <c r="AG3" s="52"/>
      <c r="AH3" s="175" t="s">
        <v>41</v>
      </c>
      <c r="AI3" s="173" t="s">
        <v>42</v>
      </c>
      <c r="AJ3" s="119" t="s">
        <v>43</v>
      </c>
      <c r="AK3" s="120" t="s">
        <v>244</v>
      </c>
      <c r="AL3" s="121" t="s">
        <v>44</v>
      </c>
      <c r="AM3" s="121" t="s">
        <v>45</v>
      </c>
      <c r="AN3" s="119" t="s">
        <v>44</v>
      </c>
      <c r="AO3" s="122" t="s">
        <v>46</v>
      </c>
      <c r="AP3" s="52"/>
      <c r="AQ3" s="175" t="s">
        <v>41</v>
      </c>
      <c r="AR3" s="173" t="s">
        <v>42</v>
      </c>
      <c r="AS3" s="119" t="s">
        <v>43</v>
      </c>
      <c r="AT3" s="120" t="s">
        <v>244</v>
      </c>
      <c r="AU3" s="121" t="s">
        <v>44</v>
      </c>
      <c r="AV3" s="121" t="s">
        <v>45</v>
      </c>
      <c r="AW3" s="119" t="s">
        <v>44</v>
      </c>
      <c r="AX3" s="122" t="s">
        <v>46</v>
      </c>
      <c r="AY3" s="52"/>
      <c r="AZ3" s="175" t="s">
        <v>41</v>
      </c>
      <c r="BA3" s="173" t="s">
        <v>42</v>
      </c>
      <c r="BB3" s="119" t="s">
        <v>43</v>
      </c>
      <c r="BC3" s="120" t="s">
        <v>244</v>
      </c>
      <c r="BD3" s="121" t="s">
        <v>44</v>
      </c>
      <c r="BE3" s="121" t="s">
        <v>45</v>
      </c>
      <c r="BF3" s="119" t="s">
        <v>44</v>
      </c>
      <c r="BG3" s="122" t="s">
        <v>46</v>
      </c>
      <c r="BH3" s="52"/>
      <c r="BI3" s="175" t="s">
        <v>41</v>
      </c>
      <c r="BJ3" s="173" t="s">
        <v>42</v>
      </c>
      <c r="BK3" s="119" t="s">
        <v>43</v>
      </c>
      <c r="BL3" s="120" t="s">
        <v>244</v>
      </c>
      <c r="BM3" s="121" t="s">
        <v>44</v>
      </c>
      <c r="BN3" s="121" t="s">
        <v>45</v>
      </c>
      <c r="BO3" s="119" t="s">
        <v>44</v>
      </c>
      <c r="BP3" s="122" t="s">
        <v>46</v>
      </c>
      <c r="BQ3" s="52"/>
      <c r="BR3" s="175" t="s">
        <v>41</v>
      </c>
      <c r="BS3" s="173" t="s">
        <v>42</v>
      </c>
      <c r="BT3" s="119" t="s">
        <v>43</v>
      </c>
      <c r="BU3" s="120" t="s">
        <v>244</v>
      </c>
      <c r="BV3" s="121" t="s">
        <v>44</v>
      </c>
      <c r="BW3" s="121" t="s">
        <v>45</v>
      </c>
      <c r="BX3" s="119" t="s">
        <v>44</v>
      </c>
      <c r="BY3" s="122" t="s">
        <v>46</v>
      </c>
      <c r="BZ3" s="52"/>
      <c r="CA3" s="175" t="s">
        <v>41</v>
      </c>
      <c r="CB3" s="173" t="s">
        <v>42</v>
      </c>
      <c r="CC3" s="119" t="s">
        <v>43</v>
      </c>
      <c r="CD3" s="120" t="s">
        <v>244</v>
      </c>
      <c r="CE3" s="121" t="s">
        <v>44</v>
      </c>
      <c r="CF3" s="121" t="s">
        <v>45</v>
      </c>
      <c r="CG3" s="119" t="s">
        <v>44</v>
      </c>
      <c r="CH3" s="122" t="s">
        <v>46</v>
      </c>
      <c r="CI3" s="52"/>
      <c r="CJ3" s="175" t="s">
        <v>41</v>
      </c>
      <c r="CK3" s="173" t="s">
        <v>42</v>
      </c>
      <c r="CL3" s="119" t="s">
        <v>43</v>
      </c>
      <c r="CM3" s="120" t="s">
        <v>244</v>
      </c>
      <c r="CN3" s="121" t="s">
        <v>44</v>
      </c>
      <c r="CO3" s="121" t="s">
        <v>45</v>
      </c>
      <c r="CP3" s="119" t="s">
        <v>44</v>
      </c>
      <c r="CQ3" s="122" t="s">
        <v>46</v>
      </c>
      <c r="CR3" s="52"/>
      <c r="CS3" s="274" t="s">
        <v>302</v>
      </c>
      <c r="CT3" s="274" t="s">
        <v>292</v>
      </c>
      <c r="CU3" s="118"/>
    </row>
    <row r="4" spans="1:99" s="40" customFormat="1" ht="12.75" customHeight="1" outlineLevel="1" x14ac:dyDescent="0.2">
      <c r="A4" s="71" t="s">
        <v>47</v>
      </c>
      <c r="B4" s="318" t="s">
        <v>47</v>
      </c>
      <c r="C4" s="319"/>
      <c r="D4" s="319"/>
      <c r="E4" s="320"/>
      <c r="F4" s="52"/>
      <c r="G4" s="176" t="s">
        <v>47</v>
      </c>
      <c r="H4" s="177"/>
      <c r="I4" s="178">
        <f>SUM(I5:I8)</f>
        <v>0</v>
      </c>
      <c r="J4" s="100"/>
      <c r="K4" s="178">
        <f>SUM(K5:K8)</f>
        <v>0</v>
      </c>
      <c r="L4" s="178">
        <f>SUM(L5:L8)</f>
        <v>0</v>
      </c>
      <c r="M4" s="178">
        <f>SUM(M5:M8)</f>
        <v>0</v>
      </c>
      <c r="N4" s="179">
        <f>SUM(N5:N8)</f>
        <v>0</v>
      </c>
      <c r="O4" s="52"/>
      <c r="P4" s="180" t="s">
        <v>47</v>
      </c>
      <c r="Q4" s="177"/>
      <c r="R4" s="178">
        <f>SUM(R5:R8)</f>
        <v>0</v>
      </c>
      <c r="S4" s="100"/>
      <c r="T4" s="178">
        <f>SUM(T5:T8)</f>
        <v>0</v>
      </c>
      <c r="U4" s="178">
        <f>SUM(U5:U8)</f>
        <v>0</v>
      </c>
      <c r="V4" s="178">
        <f>SUM(V5:V8)</f>
        <v>0</v>
      </c>
      <c r="W4" s="179">
        <f>SUM(W5:W8)</f>
        <v>0</v>
      </c>
      <c r="X4" s="52"/>
      <c r="Y4" s="180" t="s">
        <v>47</v>
      </c>
      <c r="Z4" s="177"/>
      <c r="AA4" s="178">
        <f>SUM(AA5:AA8)</f>
        <v>0</v>
      </c>
      <c r="AB4" s="100"/>
      <c r="AC4" s="185">
        <f>SUM(AC5:AC8)</f>
        <v>0</v>
      </c>
      <c r="AD4" s="185">
        <f>SUM(AD5:AD8)</f>
        <v>0</v>
      </c>
      <c r="AE4" s="178">
        <f>SUM(AE5:AE8)</f>
        <v>0</v>
      </c>
      <c r="AF4" s="179">
        <f>SUM(AF5:AF8)</f>
        <v>0</v>
      </c>
      <c r="AG4" s="52"/>
      <c r="AH4" s="180" t="s">
        <v>47</v>
      </c>
      <c r="AI4" s="177"/>
      <c r="AJ4" s="178">
        <f>SUM(AJ5:AJ8)</f>
        <v>0</v>
      </c>
      <c r="AK4" s="100"/>
      <c r="AL4" s="178">
        <f>SUM(AL5:AL8)</f>
        <v>0</v>
      </c>
      <c r="AM4" s="178">
        <f>SUM(AM5:AM8)</f>
        <v>0</v>
      </c>
      <c r="AN4" s="178">
        <f>SUM(AN5:AN8)</f>
        <v>0</v>
      </c>
      <c r="AO4" s="179">
        <f>SUM(AO5:AO8)</f>
        <v>0</v>
      </c>
      <c r="AP4" s="52"/>
      <c r="AQ4" s="180" t="s">
        <v>47</v>
      </c>
      <c r="AR4" s="177"/>
      <c r="AS4" s="178">
        <f>SUM(AS5:AS8)</f>
        <v>0</v>
      </c>
      <c r="AT4" s="100"/>
      <c r="AU4" s="178">
        <f>SUM(AU5:AU8)</f>
        <v>0</v>
      </c>
      <c r="AV4" s="178">
        <f>SUM(AV5:AV8)</f>
        <v>0</v>
      </c>
      <c r="AW4" s="178">
        <f>SUM(AW5:AW8)</f>
        <v>0</v>
      </c>
      <c r="AX4" s="179">
        <f>SUM(AX5:AX8)</f>
        <v>0</v>
      </c>
      <c r="AY4" s="52"/>
      <c r="AZ4" s="180" t="s">
        <v>47</v>
      </c>
      <c r="BA4" s="177"/>
      <c r="BB4" s="178">
        <f>SUM(BB5:BB8)</f>
        <v>0</v>
      </c>
      <c r="BC4" s="100"/>
      <c r="BD4" s="178">
        <f>SUM(BD5:BD8)</f>
        <v>0</v>
      </c>
      <c r="BE4" s="178">
        <f t="shared" ref="BE4:BG4" si="0">SUM(BE5:BE8)</f>
        <v>0</v>
      </c>
      <c r="BF4" s="178">
        <f t="shared" si="0"/>
        <v>0</v>
      </c>
      <c r="BG4" s="178">
        <f t="shared" si="0"/>
        <v>0</v>
      </c>
      <c r="BH4" s="52"/>
      <c r="BI4" s="180" t="s">
        <v>47</v>
      </c>
      <c r="BJ4" s="177"/>
      <c r="BK4" s="178">
        <f>SUM(BK5:BK8)</f>
        <v>0</v>
      </c>
      <c r="BL4" s="100"/>
      <c r="BM4" s="178">
        <f>SUM(BM5:BM8)</f>
        <v>0</v>
      </c>
      <c r="BN4" s="178">
        <f t="shared" ref="BN4:BP4" si="1">SUM(BN5:BN8)</f>
        <v>0</v>
      </c>
      <c r="BO4" s="178">
        <f t="shared" si="1"/>
        <v>0</v>
      </c>
      <c r="BP4" s="178">
        <f t="shared" si="1"/>
        <v>0</v>
      </c>
      <c r="BQ4" s="52"/>
      <c r="BR4" s="180" t="s">
        <v>47</v>
      </c>
      <c r="BS4" s="177"/>
      <c r="BT4" s="178">
        <f>SUM(BT5:BT8)</f>
        <v>0</v>
      </c>
      <c r="BU4" s="100"/>
      <c r="BV4" s="178">
        <f>SUM(BV5:BV8)</f>
        <v>0</v>
      </c>
      <c r="BW4" s="178">
        <f t="shared" ref="BW4:BY4" si="2">SUM(BW5:BW8)</f>
        <v>0</v>
      </c>
      <c r="BX4" s="178">
        <f t="shared" si="2"/>
        <v>0</v>
      </c>
      <c r="BY4" s="178">
        <f t="shared" si="2"/>
        <v>0</v>
      </c>
      <c r="BZ4" s="52"/>
      <c r="CA4" s="180" t="s">
        <v>47</v>
      </c>
      <c r="CB4" s="177"/>
      <c r="CC4" s="178">
        <f>SUM(CC5:CC8)</f>
        <v>0</v>
      </c>
      <c r="CD4" s="100"/>
      <c r="CE4" s="178">
        <f>SUM(CE5:CE8)</f>
        <v>0</v>
      </c>
      <c r="CF4" s="178">
        <f t="shared" ref="CF4:CH4" si="3">SUM(CF5:CF8)</f>
        <v>0</v>
      </c>
      <c r="CG4" s="178">
        <f t="shared" si="3"/>
        <v>0</v>
      </c>
      <c r="CH4" s="178">
        <f t="shared" si="3"/>
        <v>0</v>
      </c>
      <c r="CI4" s="52"/>
      <c r="CJ4" s="180" t="s">
        <v>47</v>
      </c>
      <c r="CK4" s="177"/>
      <c r="CL4" s="178">
        <f>SUM(CL5:CL8)</f>
        <v>0</v>
      </c>
      <c r="CM4" s="100"/>
      <c r="CN4" s="178">
        <f>SUM(CN5:CN8)</f>
        <v>0</v>
      </c>
      <c r="CO4" s="178">
        <f t="shared" ref="CO4:CQ4" si="4">SUM(CO5:CO8)</f>
        <v>0</v>
      </c>
      <c r="CP4" s="178">
        <f t="shared" si="4"/>
        <v>0</v>
      </c>
      <c r="CQ4" s="178">
        <f t="shared" si="4"/>
        <v>0</v>
      </c>
      <c r="CR4" s="52"/>
      <c r="CS4" s="178">
        <f>SUM(N4,W4,AF4,AO4,AX4,BG4,BP4,BY4,CH4,CQ4)</f>
        <v>0</v>
      </c>
      <c r="CT4" s="178">
        <f>SUM(M4,V4,AE4,AN4,AW4,BF4,BO4,BX4,CG4,CP4)</f>
        <v>0</v>
      </c>
      <c r="CU4" s="210" t="str">
        <f t="shared" ref="CU4:CU8" si="5">E4&amp;" "&amp;G4&amp;""</f>
        <v xml:space="preserve"> Senior Personnel</v>
      </c>
    </row>
    <row r="5" spans="1:99" s="54" customFormat="1" ht="12.75" customHeight="1" outlineLevel="1" x14ac:dyDescent="0.2">
      <c r="A5" s="43">
        <f>IF(C5=0,0,ROUND(B5/C5*12,0))</f>
        <v>0</v>
      </c>
      <c r="B5" s="184"/>
      <c r="C5" s="187"/>
      <c r="D5" s="182"/>
      <c r="E5" s="188"/>
      <c r="F5" s="53"/>
      <c r="G5" s="182"/>
      <c r="H5" s="183">
        <v>0</v>
      </c>
      <c r="I5" s="43">
        <f>IF(H5=0,0,ROUND(($B5/$C5*H5),0))</f>
        <v>0</v>
      </c>
      <c r="J5" s="123">
        <f>IF(I5=0,0,M5/I5)</f>
        <v>0</v>
      </c>
      <c r="K5" s="43">
        <f>IF($D5=0, 0, ROUND($I5*VLOOKUP($D5, 'Finge and HI'!$C:$E, 2, FALSE), 0))</f>
        <v>0</v>
      </c>
      <c r="L5" s="43">
        <f>IF($B5=0, 0, ROUND(VLOOKUP($D5&amp;$M$2, 'Finge and HI'!$A:$E, 5, FALSE)/$C5*H5,0))</f>
        <v>0</v>
      </c>
      <c r="M5" s="43">
        <f t="shared" ref="M5:M8" si="6">K5+L5</f>
        <v>0</v>
      </c>
      <c r="N5" s="124">
        <f t="shared" ref="N5:N8" si="7">I5+M5</f>
        <v>0</v>
      </c>
      <c r="O5" s="53"/>
      <c r="P5" s="146" t="str">
        <f>IF($G5="", "",$G5)</f>
        <v/>
      </c>
      <c r="Q5" s="183">
        <v>0</v>
      </c>
      <c r="R5" s="43">
        <f>IF(Q5=0,0,ROUND($B5*$B$20/$C5*Q5,0))</f>
        <v>0</v>
      </c>
      <c r="S5" s="123">
        <f>IF(R5=0,0,V5/R5)</f>
        <v>0</v>
      </c>
      <c r="T5" s="43">
        <f>IF($D5=0, 0, ROUND($R5*VLOOKUP($D5, 'Finge and HI'!$C:$E, 2, FALSE), 0))</f>
        <v>0</v>
      </c>
      <c r="U5" s="43">
        <f>IF($B5=0, 0, ROUND(VLOOKUP($D5&amp;$V$2, 'Finge and HI'!$A:$E, 5, FALSE)/$C5*Q5,0))</f>
        <v>0</v>
      </c>
      <c r="V5" s="43">
        <f t="shared" ref="V5:V8" si="8">T5+U5</f>
        <v>0</v>
      </c>
      <c r="W5" s="124">
        <f t="shared" ref="W5:W8" si="9">R5+V5</f>
        <v>0</v>
      </c>
      <c r="X5" s="53"/>
      <c r="Y5" s="146" t="str">
        <f>IF($G5="", "",$G5)</f>
        <v/>
      </c>
      <c r="Z5" s="183">
        <v>0</v>
      </c>
      <c r="AA5" s="43">
        <f>IF(Z5=0,0,ROUND($B5*$B$20^2/$C5*Z5,0))</f>
        <v>0</v>
      </c>
      <c r="AB5" s="123">
        <f>IF(AA5=0,0,AE5/AA5)</f>
        <v>0</v>
      </c>
      <c r="AC5" s="43">
        <f>IF($D5=0, 0, ROUND($AA5*VLOOKUP($D5, 'Finge and HI'!$C:$E, 2, FALSE), 0))</f>
        <v>0</v>
      </c>
      <c r="AD5" s="43">
        <f>IF($B5=0, 0, ROUND(VLOOKUP($D5&amp;$AE$2, 'Finge and HI'!$A:$E, 5, FALSE)/$C5*Z5,0))</f>
        <v>0</v>
      </c>
      <c r="AE5" s="43">
        <f t="shared" ref="AE5:AE8" si="10">AC5+AD5</f>
        <v>0</v>
      </c>
      <c r="AF5" s="124">
        <f t="shared" ref="AF5:AF8" si="11">AA5+AE5</f>
        <v>0</v>
      </c>
      <c r="AG5" s="53"/>
      <c r="AH5" s="146" t="str">
        <f>IF($G5="", "",$G5)</f>
        <v/>
      </c>
      <c r="AI5" s="183">
        <v>0</v>
      </c>
      <c r="AJ5" s="43">
        <f>IF(AI5=0,0,ROUND($B5*$B$20^3/$C5*AI5,0))</f>
        <v>0</v>
      </c>
      <c r="AK5" s="123">
        <f>IF(AJ5=0,0,AN5/AJ5)</f>
        <v>0</v>
      </c>
      <c r="AL5" s="43">
        <f>IF($D5=0, 0, ROUND($AJ5*VLOOKUP($D5, 'Finge and HI'!$C:$E, 2, FALSE), 0))</f>
        <v>0</v>
      </c>
      <c r="AM5" s="43">
        <f>IF($B5=0, 0, ROUND(VLOOKUP($D5&amp;AN$2, 'Finge and HI'!$A:$E, 5, FALSE)/$C5*AI5,0))</f>
        <v>0</v>
      </c>
      <c r="AN5" s="43">
        <f t="shared" ref="AN5:AN8" si="12">AL5+AM5</f>
        <v>0</v>
      </c>
      <c r="AO5" s="124">
        <f t="shared" ref="AO5:AO8" si="13">AJ5+AN5</f>
        <v>0</v>
      </c>
      <c r="AP5" s="53"/>
      <c r="AQ5" s="146" t="str">
        <f>IF($G5="", "",$G5)</f>
        <v/>
      </c>
      <c r="AR5" s="183">
        <v>0</v>
      </c>
      <c r="AS5" s="43">
        <f>IF(AR5=0,0,ROUND($B5*$B$20^4/$C5*AR5,0))</f>
        <v>0</v>
      </c>
      <c r="AT5" s="123">
        <f>IF(AS5=0,0,AW5/AS5)</f>
        <v>0</v>
      </c>
      <c r="AU5" s="43">
        <f>IF($D5=0, 0, ROUND($AS5*VLOOKUP($D5, 'Finge and HI'!$C:$E, 2, FALSE), 0))</f>
        <v>0</v>
      </c>
      <c r="AV5" s="43">
        <f>IF($B5=0, 0, ROUND(VLOOKUP($D5&amp;$AW$2, 'Finge and HI'!$A:$E, 5, FALSE)/$C5*AR5,0))</f>
        <v>0</v>
      </c>
      <c r="AW5" s="43">
        <f t="shared" ref="AW5:AW8" si="14">AU5+AV5</f>
        <v>0</v>
      </c>
      <c r="AX5" s="124">
        <f t="shared" ref="AX5:AX8" si="15">AS5+AW5</f>
        <v>0</v>
      </c>
      <c r="AY5" s="53"/>
      <c r="AZ5" s="146" t="str">
        <f>IF($G5="", "",$G5)</f>
        <v/>
      </c>
      <c r="BA5" s="183">
        <v>0</v>
      </c>
      <c r="BB5" s="43">
        <f>IF(BA5=0,0,ROUND($B5*$B$20^5/$C5*BA5,0))</f>
        <v>0</v>
      </c>
      <c r="BC5" s="123">
        <f>IF(BB5=0,0,BF5/BB5)</f>
        <v>0</v>
      </c>
      <c r="BD5" s="43">
        <f>IF($D5=0, 0, ROUND($BB5*VLOOKUP($D5, 'Finge and HI'!$C:$E, 2, FALSE), 0))</f>
        <v>0</v>
      </c>
      <c r="BE5" s="43">
        <f>IF($B5=0, 0, ROUND(VLOOKUP($D5&amp;$BF$2, 'Finge and HI'!$A:$E, 5, FALSE)/$C5*BA5,0))</f>
        <v>0</v>
      </c>
      <c r="BF5" s="43">
        <f>BD5+BE5</f>
        <v>0</v>
      </c>
      <c r="BG5" s="124">
        <f>BB5+BF5</f>
        <v>0</v>
      </c>
      <c r="BH5" s="53"/>
      <c r="BI5" s="146" t="str">
        <f>IF($G5="", "",$G5)</f>
        <v/>
      </c>
      <c r="BJ5" s="183">
        <v>0</v>
      </c>
      <c r="BK5" s="43">
        <f>IF(BJ5=0,0,ROUND($B5*$B$20^6/$C5*BJ5,0))</f>
        <v>0</v>
      </c>
      <c r="BL5" s="123">
        <f>IF(BK5=0,0,BO5/BK5)</f>
        <v>0</v>
      </c>
      <c r="BM5" s="43">
        <f>IF($D5=0, 0, ROUND($BK5*VLOOKUP($D5, 'Finge and HI'!$C:$E, 2, FALSE), 0))</f>
        <v>0</v>
      </c>
      <c r="BN5" s="43">
        <f>IF($B5=0, 0, ROUND(VLOOKUP($D5&amp;$BO$2, 'Finge and HI'!$A:$E, 5, FALSE)/$C5*BJ5,0))</f>
        <v>0</v>
      </c>
      <c r="BO5" s="43">
        <f>BM5+BN5</f>
        <v>0</v>
      </c>
      <c r="BP5" s="124">
        <f>BK5+BO5</f>
        <v>0</v>
      </c>
      <c r="BQ5" s="53"/>
      <c r="BR5" s="146" t="str">
        <f>IF($G5="", "",$G5)</f>
        <v/>
      </c>
      <c r="BS5" s="183">
        <v>0</v>
      </c>
      <c r="BT5" s="43">
        <f>IF(BS5=0,0,ROUND($B5*$B$20^7/$C5*BS5,0))</f>
        <v>0</v>
      </c>
      <c r="BU5" s="123">
        <f>IF(BT5=0,0,BX5/BT5)</f>
        <v>0</v>
      </c>
      <c r="BV5" s="43">
        <f>IF($D5=0, 0, ROUND($BT5*VLOOKUP($D5, 'Finge and HI'!$C:$E, 2, FALSE), 0))</f>
        <v>0</v>
      </c>
      <c r="BW5" s="43">
        <f>IF($B5=0, 0, ROUND(VLOOKUP($D5&amp;$BX$2, 'Finge and HI'!$A:$E, 5, FALSE)/$C5*BS5,0))</f>
        <v>0</v>
      </c>
      <c r="BX5" s="43">
        <f>BV5+BW5</f>
        <v>0</v>
      </c>
      <c r="BY5" s="124">
        <f>BT5+BX5</f>
        <v>0</v>
      </c>
      <c r="BZ5" s="53"/>
      <c r="CA5" s="146" t="str">
        <f>IF($G5="", "",$G5)</f>
        <v/>
      </c>
      <c r="CB5" s="183">
        <v>0</v>
      </c>
      <c r="CC5" s="43">
        <f>IF(CB5=0,0,ROUND($B5*$B$20^8/$C5*CB5,0))</f>
        <v>0</v>
      </c>
      <c r="CD5" s="123">
        <f>IF(CC5=0,0,CG5/CC5)</f>
        <v>0</v>
      </c>
      <c r="CE5" s="43">
        <f>IF($D5=0, 0, ROUND($CC5*VLOOKUP($D5, 'Finge and HI'!$C:$E, 2, FALSE), 0))</f>
        <v>0</v>
      </c>
      <c r="CF5" s="43">
        <f>IF($B5=0, 0, ROUND(VLOOKUP($D5&amp;$CG$2, 'Finge and HI'!$A:$E, 5, FALSE)/$C5*CB5,0))</f>
        <v>0</v>
      </c>
      <c r="CG5" s="43">
        <f>CE5+CF5</f>
        <v>0</v>
      </c>
      <c r="CH5" s="124">
        <f>CC5+CG5</f>
        <v>0</v>
      </c>
      <c r="CI5" s="53"/>
      <c r="CJ5" s="146" t="str">
        <f>IF($G5="", "",$G5)</f>
        <v/>
      </c>
      <c r="CK5" s="183">
        <v>0</v>
      </c>
      <c r="CL5" s="43">
        <f>IF(CK5=0,0,ROUND($B5*$B$20^9/$C5*CK5,0))</f>
        <v>0</v>
      </c>
      <c r="CM5" s="123">
        <f>IF(CL5=0,0,CP5/CL5)</f>
        <v>0</v>
      </c>
      <c r="CN5" s="43">
        <f>IF($D5=0, 0, ROUND($CL5*VLOOKUP($D5, 'Finge and HI'!$C:$E, 2, FALSE), 0))</f>
        <v>0</v>
      </c>
      <c r="CO5" s="43">
        <f>IF($B5=0, 0, ROUND(VLOOKUP($D5&amp;$CP$2, 'Finge and HI'!$A:$E, 5, FALSE)/$C5*CK5,0))</f>
        <v>0</v>
      </c>
      <c r="CP5" s="43">
        <f>CN5+CO5</f>
        <v>0</v>
      </c>
      <c r="CQ5" s="124">
        <f>CL5+CP5</f>
        <v>0</v>
      </c>
      <c r="CR5" s="53"/>
      <c r="CS5" s="95">
        <f t="shared" ref="CS5:CS19" si="16">SUM(N5,W5,AF5,AO5,AX5,BG5,BP5,BY5,CH5,CQ5)</f>
        <v>0</v>
      </c>
      <c r="CT5" s="95">
        <f t="shared" ref="CT5:CT19" si="17">SUM(M5,V5,AE5,AN5,AW5,BF5,BO5,BX5,CG5,CP5)</f>
        <v>0</v>
      </c>
      <c r="CU5" s="43" t="str">
        <f t="shared" si="5"/>
        <v xml:space="preserve"> </v>
      </c>
    </row>
    <row r="6" spans="1:99" s="54" customFormat="1" ht="12.75" customHeight="1" outlineLevel="1" x14ac:dyDescent="0.2">
      <c r="A6" s="43">
        <f t="shared" ref="A6" si="18">IF(C6=0,0,ROUND(B6/C6*12,0))</f>
        <v>0</v>
      </c>
      <c r="B6" s="184"/>
      <c r="C6" s="187"/>
      <c r="D6" s="182"/>
      <c r="E6" s="188"/>
      <c r="F6" s="53"/>
      <c r="G6" s="182"/>
      <c r="H6" s="183">
        <v>0</v>
      </c>
      <c r="I6" s="43">
        <f t="shared" ref="I6" si="19">IF(H6=0,0,ROUND(($B6/$C6*H6),0))</f>
        <v>0</v>
      </c>
      <c r="J6" s="123">
        <f>IF(I6=0,0,M6/I6)</f>
        <v>0</v>
      </c>
      <c r="K6" s="43">
        <f>IF($D6=0, 0, ROUND($I6*VLOOKUP($D6, 'Finge and HI'!$C:$E, 2, FALSE), 0))</f>
        <v>0</v>
      </c>
      <c r="L6" s="43">
        <f>IF($B6=0, 0, ROUND(VLOOKUP($D6&amp;$M$2, 'Finge and HI'!$A:$E, 5, FALSE)/$C6*H6,0))</f>
        <v>0</v>
      </c>
      <c r="M6" s="43">
        <f t="shared" ref="M6" si="20">K6+L6</f>
        <v>0</v>
      </c>
      <c r="N6" s="124">
        <f t="shared" ref="N6" si="21">I6+M6</f>
        <v>0</v>
      </c>
      <c r="O6" s="53"/>
      <c r="P6" s="146" t="str">
        <f t="shared" ref="P6:P8" si="22">IF($G6="", "",$G6)</f>
        <v/>
      </c>
      <c r="Q6" s="183">
        <v>0</v>
      </c>
      <c r="R6" s="43">
        <f>IF(Q6=0,0,ROUND($B6*$B$20/$C6*Q6,0))</f>
        <v>0</v>
      </c>
      <c r="S6" s="123">
        <f t="shared" ref="S6:S8" si="23">IF(R6=0,0,V6/R6)</f>
        <v>0</v>
      </c>
      <c r="T6" s="43">
        <f>IF($D6=0, 0, ROUND($R6*VLOOKUP($D6, 'Finge and HI'!$C:$E, 2, FALSE), 0))</f>
        <v>0</v>
      </c>
      <c r="U6" s="43">
        <f>IF($B6=0, 0, ROUND(VLOOKUP($D6&amp;$V$2, 'Finge and HI'!$A:$E, 5, FALSE)/$C6*Q6,0))</f>
        <v>0</v>
      </c>
      <c r="V6" s="43">
        <f t="shared" ref="V6" si="24">T6+U6</f>
        <v>0</v>
      </c>
      <c r="W6" s="124">
        <f t="shared" ref="W6" si="25">R6+V6</f>
        <v>0</v>
      </c>
      <c r="X6" s="53"/>
      <c r="Y6" s="146" t="str">
        <f t="shared" ref="Y6:Y8" si="26">IF($G6="", "",$G6)</f>
        <v/>
      </c>
      <c r="Z6" s="183">
        <v>0</v>
      </c>
      <c r="AA6" s="43">
        <f>IF(Z6=0,0,ROUND($B6*$B$20^2/$C6*Z6,0))</f>
        <v>0</v>
      </c>
      <c r="AB6" s="123">
        <f t="shared" ref="AB6:AB8" si="27">IF(AA6=0,0,AE6/AA6)</f>
        <v>0</v>
      </c>
      <c r="AC6" s="43">
        <f>IF($D6=0, 0, ROUND($AA6*VLOOKUP($D6, 'Finge and HI'!$C:$E, 2, FALSE), 0))</f>
        <v>0</v>
      </c>
      <c r="AD6" s="43">
        <f>IF($B6=0, 0, ROUND(VLOOKUP($D6&amp;$AE$2, 'Finge and HI'!$A:$E, 5, FALSE)/$C6*Z6,0))</f>
        <v>0</v>
      </c>
      <c r="AE6" s="43">
        <f t="shared" ref="AE6" si="28">AC6+AD6</f>
        <v>0</v>
      </c>
      <c r="AF6" s="124">
        <f t="shared" ref="AF6" si="29">AA6+AE6</f>
        <v>0</v>
      </c>
      <c r="AG6" s="53"/>
      <c r="AH6" s="146" t="str">
        <f t="shared" ref="AH6:AH8" si="30">IF($G6="", "",$G6)</f>
        <v/>
      </c>
      <c r="AI6" s="183">
        <v>0</v>
      </c>
      <c r="AJ6" s="43">
        <f>IF(AI6=0,0,ROUND($B6*$B$20^3/$C6*AI6,0))</f>
        <v>0</v>
      </c>
      <c r="AK6" s="123">
        <f t="shared" ref="AK6:AK8" si="31">IF(AJ6=0,0,AN6/AJ6)</f>
        <v>0</v>
      </c>
      <c r="AL6" s="43">
        <f>IF($D6=0, 0, ROUND($AJ6*VLOOKUP($D6, 'Finge and HI'!$C:$E, 2, FALSE), 0))</f>
        <v>0</v>
      </c>
      <c r="AM6" s="43">
        <f>IF($B6=0, 0, ROUND(VLOOKUP($D6&amp;AN$2, 'Finge and HI'!$A:$E, 5, FALSE)/$C6*AI6,0))</f>
        <v>0</v>
      </c>
      <c r="AN6" s="43">
        <f t="shared" ref="AN6" si="32">AL6+AM6</f>
        <v>0</v>
      </c>
      <c r="AO6" s="124">
        <f t="shared" ref="AO6" si="33">AJ6+AN6</f>
        <v>0</v>
      </c>
      <c r="AP6" s="53"/>
      <c r="AQ6" s="146" t="str">
        <f t="shared" ref="AQ6:AQ8" si="34">IF($G6="", "",$G6)</f>
        <v/>
      </c>
      <c r="AR6" s="183">
        <v>0</v>
      </c>
      <c r="AS6" s="43">
        <f>IF(AR6=0,0,ROUND($B6*$B$20^4/$C6*AR6,0))</f>
        <v>0</v>
      </c>
      <c r="AT6" s="123">
        <f t="shared" ref="AT6:AT8" si="35">IF(AS6=0,0,AW6/AS6)</f>
        <v>0</v>
      </c>
      <c r="AU6" s="43">
        <f>IF($D6=0, 0, ROUND($AS6*VLOOKUP($D6, 'Finge and HI'!$C:$E, 2, FALSE), 0))</f>
        <v>0</v>
      </c>
      <c r="AV6" s="43">
        <f>IF($B6=0, 0, ROUND(VLOOKUP($D6&amp;$AW$2, 'Finge and HI'!$A:$E, 5, FALSE)/$C6*AR6,0))</f>
        <v>0</v>
      </c>
      <c r="AW6" s="43">
        <f t="shared" si="14"/>
        <v>0</v>
      </c>
      <c r="AX6" s="124">
        <f t="shared" si="15"/>
        <v>0</v>
      </c>
      <c r="AY6" s="53"/>
      <c r="AZ6" s="146" t="str">
        <f t="shared" ref="AZ6:AZ8" si="36">IF($G6="", "",$G6)</f>
        <v/>
      </c>
      <c r="BA6" s="183">
        <v>0</v>
      </c>
      <c r="BB6" s="43">
        <f>IF(BA6=0,0,ROUND($B6*$B$20^5/$C6*BA6,0))</f>
        <v>0</v>
      </c>
      <c r="BC6" s="123">
        <f t="shared" ref="BC6:BC17" si="37">IF(BB6=0,0,BF6/BB6)</f>
        <v>0</v>
      </c>
      <c r="BD6" s="43">
        <f>IF($D6=0, 0, ROUND($BB6*VLOOKUP($D6, 'Finge and HI'!$C:$E, 2, FALSE), 0))</f>
        <v>0</v>
      </c>
      <c r="BE6" s="43">
        <f>IF($B6=0, 0, ROUND(VLOOKUP($D6&amp;$BF$2, 'Finge and HI'!$A:$E, 5, FALSE)/$C6*BA6,0))</f>
        <v>0</v>
      </c>
      <c r="BF6" s="43">
        <f t="shared" ref="BF6:BF17" si="38">BD6+BE6</f>
        <v>0</v>
      </c>
      <c r="BG6" s="124">
        <f t="shared" ref="BG6:BG17" si="39">BB6+BF6</f>
        <v>0</v>
      </c>
      <c r="BH6" s="53"/>
      <c r="BI6" s="146" t="str">
        <f t="shared" ref="BI6:BI8" si="40">IF($G6="", "",$G6)</f>
        <v/>
      </c>
      <c r="BJ6" s="183">
        <v>0</v>
      </c>
      <c r="BK6" s="43">
        <f>IF(BJ6=0,0,ROUND($B6*$B$20^6/$C6*BJ6,0))</f>
        <v>0</v>
      </c>
      <c r="BL6" s="123">
        <f t="shared" ref="BL6:BL17" si="41">IF(BK6=0,0,BO6/BK6)</f>
        <v>0</v>
      </c>
      <c r="BM6" s="43">
        <f>IF($D6=0, 0, ROUND($BK6*VLOOKUP($D6, 'Finge and HI'!$C:$E, 2, FALSE), 0))</f>
        <v>0</v>
      </c>
      <c r="BN6" s="43">
        <f>IF($B6=0, 0, ROUND(VLOOKUP($D6&amp;$BO$2, 'Finge and HI'!$A:$E, 5, FALSE)/$C6*BJ6,0))</f>
        <v>0</v>
      </c>
      <c r="BO6" s="43">
        <f t="shared" ref="BO6:BO17" si="42">BM6+BN6</f>
        <v>0</v>
      </c>
      <c r="BP6" s="124">
        <f t="shared" ref="BP6:BP17" si="43">BK6+BO6</f>
        <v>0</v>
      </c>
      <c r="BQ6" s="53"/>
      <c r="BR6" s="146" t="str">
        <f t="shared" ref="BR6:BR8" si="44">IF($G6="", "",$G6)</f>
        <v/>
      </c>
      <c r="BS6" s="183">
        <v>0</v>
      </c>
      <c r="BT6" s="43">
        <f>IF(BS6=0,0,ROUND($B6*$B$20^7/$C6*BS6,0))</f>
        <v>0</v>
      </c>
      <c r="BU6" s="123">
        <f t="shared" ref="BU6:BU17" si="45">IF(BT6=0,0,BX6/BT6)</f>
        <v>0</v>
      </c>
      <c r="BV6" s="43">
        <f>IF($D6=0, 0, ROUND($BT6*VLOOKUP($D6, 'Finge and HI'!$C:$E, 2, FALSE), 0))</f>
        <v>0</v>
      </c>
      <c r="BW6" s="43">
        <f>IF($B6=0, 0, ROUND(VLOOKUP($D6&amp;$BX$2, 'Finge and HI'!$A:$E, 5, FALSE)/$C6*BS6,0))</f>
        <v>0</v>
      </c>
      <c r="BX6" s="43">
        <f t="shared" ref="BX6:BX17" si="46">BV6+BW6</f>
        <v>0</v>
      </c>
      <c r="BY6" s="124">
        <f t="shared" ref="BY6:BY17" si="47">BT6+BX6</f>
        <v>0</v>
      </c>
      <c r="BZ6" s="53"/>
      <c r="CA6" s="146" t="str">
        <f t="shared" ref="CA6:CA8" si="48">IF($G6="", "",$G6)</f>
        <v/>
      </c>
      <c r="CB6" s="183">
        <v>0</v>
      </c>
      <c r="CC6" s="43">
        <f>IF(CB6=0,0,ROUND($B6*$B$20^8/$C6*CB6,0))</f>
        <v>0</v>
      </c>
      <c r="CD6" s="123">
        <f t="shared" ref="CD6:CD17" si="49">IF(CC6=0,0,CG6/CC6)</f>
        <v>0</v>
      </c>
      <c r="CE6" s="43">
        <f>IF($D6=0, 0, ROUND($CC6*VLOOKUP($D6, 'Finge and HI'!$C:$E, 2, FALSE), 0))</f>
        <v>0</v>
      </c>
      <c r="CF6" s="43">
        <f>IF($B6=0, 0, ROUND(VLOOKUP($D6&amp;$CG$2, 'Finge and HI'!$A:$E, 5, FALSE)/$C6*CB6,0))</f>
        <v>0</v>
      </c>
      <c r="CG6" s="43">
        <f t="shared" ref="CG6:CG17" si="50">CE6+CF6</f>
        <v>0</v>
      </c>
      <c r="CH6" s="124">
        <f t="shared" ref="CH6:CH17" si="51">CC6+CG6</f>
        <v>0</v>
      </c>
      <c r="CI6" s="53"/>
      <c r="CJ6" s="146" t="str">
        <f t="shared" ref="CJ6:CJ8" si="52">IF($G6="", "",$G6)</f>
        <v/>
      </c>
      <c r="CK6" s="183">
        <v>0</v>
      </c>
      <c r="CL6" s="43">
        <f>IF(CK6=0,0,ROUND($B6*$B$20^9/$C6*CK6,0))</f>
        <v>0</v>
      </c>
      <c r="CM6" s="123">
        <f t="shared" ref="CM6:CM17" si="53">IF(CL6=0,0,CP6/CL6)</f>
        <v>0</v>
      </c>
      <c r="CN6" s="43">
        <f>IF($D6=0, 0, ROUND($CL6*VLOOKUP($D6, 'Finge and HI'!$C:$E, 2, FALSE), 0))</f>
        <v>0</v>
      </c>
      <c r="CO6" s="43">
        <f>IF($B6=0, 0, ROUND(VLOOKUP($D6&amp;$CP$2, 'Finge and HI'!$A:$E, 5, FALSE)/$C6*CK6,0))</f>
        <v>0</v>
      </c>
      <c r="CP6" s="43">
        <f t="shared" ref="CP6:CP17" si="54">CN6+CO6</f>
        <v>0</v>
      </c>
      <c r="CQ6" s="124">
        <f t="shared" ref="CQ6:CQ17" si="55">CL6+CP6</f>
        <v>0</v>
      </c>
      <c r="CR6" s="53"/>
      <c r="CS6" s="95">
        <f t="shared" si="16"/>
        <v>0</v>
      </c>
      <c r="CT6" s="95">
        <f t="shared" si="17"/>
        <v>0</v>
      </c>
      <c r="CU6" s="43" t="str">
        <f t="shared" ref="CU6" si="56">E6&amp;" "&amp;G6&amp;""</f>
        <v xml:space="preserve"> </v>
      </c>
    </row>
    <row r="7" spans="1:99" s="54" customFormat="1" ht="12.75" customHeight="1" outlineLevel="1" x14ac:dyDescent="0.2">
      <c r="A7" s="43">
        <f t="shared" ref="A7:A8" si="57">IF(C7=0,0,ROUND(B7/C7*12,0))</f>
        <v>0</v>
      </c>
      <c r="B7" s="184"/>
      <c r="C7" s="187"/>
      <c r="D7" s="189"/>
      <c r="E7" s="188"/>
      <c r="F7" s="53"/>
      <c r="G7" s="182"/>
      <c r="H7" s="183">
        <v>0</v>
      </c>
      <c r="I7" s="43">
        <f t="shared" ref="I7:I8" si="58">IF(H7=0,0,ROUND(($B7/$C7*H7),0))</f>
        <v>0</v>
      </c>
      <c r="J7" s="123">
        <f>IF(I7=0,0,M7/I7)</f>
        <v>0</v>
      </c>
      <c r="K7" s="43">
        <f>IF($D7=0, 0, ROUND($I7*VLOOKUP($D7, 'Finge and HI'!$C:$E, 2, FALSE), 0))</f>
        <v>0</v>
      </c>
      <c r="L7" s="43">
        <f>IF($B7=0, 0, ROUND(VLOOKUP($D7&amp;$M$2, 'Finge and HI'!$A:$E, 5, FALSE)/$C7*H7,0))</f>
        <v>0</v>
      </c>
      <c r="M7" s="43">
        <f t="shared" si="6"/>
        <v>0</v>
      </c>
      <c r="N7" s="124">
        <f t="shared" si="7"/>
        <v>0</v>
      </c>
      <c r="O7" s="53"/>
      <c r="P7" s="146" t="str">
        <f t="shared" si="22"/>
        <v/>
      </c>
      <c r="Q7" s="183">
        <v>0</v>
      </c>
      <c r="R7" s="43">
        <f>IF(Q7=0,0,ROUND($B7*$B$20/$C7*Q7,0))</f>
        <v>0</v>
      </c>
      <c r="S7" s="123">
        <f t="shared" si="23"/>
        <v>0</v>
      </c>
      <c r="T7" s="43">
        <f>IF($D7=0, 0, ROUND($R7*VLOOKUP($D7, 'Finge and HI'!$C:$E, 2, FALSE), 0))</f>
        <v>0</v>
      </c>
      <c r="U7" s="43">
        <f>IF($B7=0, 0, ROUND(VLOOKUP($D7&amp;$V$2, 'Finge and HI'!$A:$E, 5, FALSE)/$C7*Q7,0))</f>
        <v>0</v>
      </c>
      <c r="V7" s="43">
        <f t="shared" si="8"/>
        <v>0</v>
      </c>
      <c r="W7" s="124">
        <f t="shared" si="9"/>
        <v>0</v>
      </c>
      <c r="X7" s="53"/>
      <c r="Y7" s="146" t="str">
        <f t="shared" si="26"/>
        <v/>
      </c>
      <c r="Z7" s="183">
        <v>0</v>
      </c>
      <c r="AA7" s="43">
        <f>IF(Z7=0,0,ROUND($B7*$B$20^2/$C7*Z7,0))</f>
        <v>0</v>
      </c>
      <c r="AB7" s="123">
        <f t="shared" si="27"/>
        <v>0</v>
      </c>
      <c r="AC7" s="43">
        <f>IF($D7=0, 0, ROUND($AA7*VLOOKUP($D7, 'Finge and HI'!$C:$E, 2, FALSE), 0))</f>
        <v>0</v>
      </c>
      <c r="AD7" s="43">
        <f>IF($B7=0, 0, ROUND(VLOOKUP($D7&amp;$AE$2, 'Finge and HI'!$A:$E, 5, FALSE)/$C7*Z7,0))</f>
        <v>0</v>
      </c>
      <c r="AE7" s="43">
        <f t="shared" si="10"/>
        <v>0</v>
      </c>
      <c r="AF7" s="124">
        <f t="shared" si="11"/>
        <v>0</v>
      </c>
      <c r="AG7" s="53"/>
      <c r="AH7" s="146" t="str">
        <f t="shared" si="30"/>
        <v/>
      </c>
      <c r="AI7" s="183">
        <v>0</v>
      </c>
      <c r="AJ7" s="43">
        <f>IF(AI7=0,0,ROUND($B7*$B$20^3/$C7*AI7,0))</f>
        <v>0</v>
      </c>
      <c r="AK7" s="123">
        <f t="shared" si="31"/>
        <v>0</v>
      </c>
      <c r="AL7" s="43">
        <f>IF($D7=0, 0, ROUND($AJ7*VLOOKUP($D7, 'Finge and HI'!$C:$E, 2, FALSE), 0))</f>
        <v>0</v>
      </c>
      <c r="AM7" s="43">
        <f>IF($B7=0, 0, ROUND(VLOOKUP($D7&amp;AN$2, 'Finge and HI'!$A:$E, 5, FALSE)/$C7*AI7,0))</f>
        <v>0</v>
      </c>
      <c r="AN7" s="43">
        <f t="shared" si="12"/>
        <v>0</v>
      </c>
      <c r="AO7" s="124">
        <f t="shared" si="13"/>
        <v>0</v>
      </c>
      <c r="AP7" s="53"/>
      <c r="AQ7" s="146" t="str">
        <f t="shared" si="34"/>
        <v/>
      </c>
      <c r="AR7" s="183">
        <v>0</v>
      </c>
      <c r="AS7" s="43">
        <f>IF(AR7=0,0,ROUND($B7*$B$20^4/$C7*AR7,0))</f>
        <v>0</v>
      </c>
      <c r="AT7" s="123">
        <f t="shared" si="35"/>
        <v>0</v>
      </c>
      <c r="AU7" s="43">
        <f>IF($D7=0, 0, ROUND($AS7*VLOOKUP($D7, 'Finge and HI'!$C:$E, 2, FALSE), 0))</f>
        <v>0</v>
      </c>
      <c r="AV7" s="43">
        <f>IF($B7=0, 0, ROUND(VLOOKUP($D7&amp;$AW$2, 'Finge and HI'!$A:$E, 5, FALSE)/$C7*AR7,0))</f>
        <v>0</v>
      </c>
      <c r="AW7" s="43">
        <f t="shared" si="14"/>
        <v>0</v>
      </c>
      <c r="AX7" s="124">
        <f t="shared" si="15"/>
        <v>0</v>
      </c>
      <c r="AY7" s="53"/>
      <c r="AZ7" s="146" t="str">
        <f t="shared" si="36"/>
        <v/>
      </c>
      <c r="BA7" s="183">
        <v>0</v>
      </c>
      <c r="BB7" s="43">
        <f>IF(BA7=0,0,ROUND($B7*$B$20^5/$C7*BA7,0))</f>
        <v>0</v>
      </c>
      <c r="BC7" s="123">
        <f t="shared" si="37"/>
        <v>0</v>
      </c>
      <c r="BD7" s="43">
        <f>IF($D7=0, 0, ROUND($BB7*VLOOKUP($D7, 'Finge and HI'!$C:$E, 2, FALSE), 0))</f>
        <v>0</v>
      </c>
      <c r="BE7" s="43">
        <f>IF($B7=0, 0, ROUND(VLOOKUP($D7&amp;$BF$2, 'Finge and HI'!$A:$E, 5, FALSE)/$C7*BA7,0))</f>
        <v>0</v>
      </c>
      <c r="BF7" s="43">
        <f t="shared" si="38"/>
        <v>0</v>
      </c>
      <c r="BG7" s="124">
        <f t="shared" si="39"/>
        <v>0</v>
      </c>
      <c r="BH7" s="53"/>
      <c r="BI7" s="146" t="str">
        <f t="shared" si="40"/>
        <v/>
      </c>
      <c r="BJ7" s="183">
        <v>0</v>
      </c>
      <c r="BK7" s="43">
        <f>IF(BJ7=0,0,ROUND($B7*$B$20^6/$C7*BJ7,0))</f>
        <v>0</v>
      </c>
      <c r="BL7" s="123">
        <f t="shared" si="41"/>
        <v>0</v>
      </c>
      <c r="BM7" s="43">
        <f>IF($D7=0, 0, ROUND($BK7*VLOOKUP($D7, 'Finge and HI'!$C:$E, 2, FALSE), 0))</f>
        <v>0</v>
      </c>
      <c r="BN7" s="43">
        <f>IF($B7=0, 0, ROUND(VLOOKUP($D7&amp;$BO$2, 'Finge and HI'!$A:$E, 5, FALSE)/$C7*BJ7,0))</f>
        <v>0</v>
      </c>
      <c r="BO7" s="43">
        <f t="shared" si="42"/>
        <v>0</v>
      </c>
      <c r="BP7" s="124">
        <f t="shared" si="43"/>
        <v>0</v>
      </c>
      <c r="BQ7" s="53"/>
      <c r="BR7" s="146" t="str">
        <f t="shared" si="44"/>
        <v/>
      </c>
      <c r="BS7" s="183">
        <v>0</v>
      </c>
      <c r="BT7" s="43">
        <f>IF(BS7=0,0,ROUND($B7*$B$20^7/$C7*BS7,0))</f>
        <v>0</v>
      </c>
      <c r="BU7" s="123">
        <f t="shared" si="45"/>
        <v>0</v>
      </c>
      <c r="BV7" s="43">
        <f>IF($D7=0, 0, ROUND($BT7*VLOOKUP($D7, 'Finge and HI'!$C:$E, 2, FALSE), 0))</f>
        <v>0</v>
      </c>
      <c r="BW7" s="43">
        <f>IF($B7=0, 0, ROUND(VLOOKUP($D7&amp;$BX$2, 'Finge and HI'!$A:$E, 5, FALSE)/$C7*BS7,0))</f>
        <v>0</v>
      </c>
      <c r="BX7" s="43">
        <f t="shared" si="46"/>
        <v>0</v>
      </c>
      <c r="BY7" s="124">
        <f t="shared" si="47"/>
        <v>0</v>
      </c>
      <c r="BZ7" s="53"/>
      <c r="CA7" s="146" t="str">
        <f t="shared" si="48"/>
        <v/>
      </c>
      <c r="CB7" s="183">
        <v>0</v>
      </c>
      <c r="CC7" s="43">
        <f>IF(CB7=0,0,ROUND($B7*$B$20^8/$C7*CB7,0))</f>
        <v>0</v>
      </c>
      <c r="CD7" s="123">
        <f t="shared" si="49"/>
        <v>0</v>
      </c>
      <c r="CE7" s="43">
        <f>IF($D7=0, 0, ROUND($CC7*VLOOKUP($D7, 'Finge and HI'!$C:$E, 2, FALSE), 0))</f>
        <v>0</v>
      </c>
      <c r="CF7" s="43">
        <f>IF($B7=0, 0, ROUND(VLOOKUP($D7&amp;$CG$2, 'Finge and HI'!$A:$E, 5, FALSE)/$C7*CB7,0))</f>
        <v>0</v>
      </c>
      <c r="CG7" s="43">
        <f t="shared" si="50"/>
        <v>0</v>
      </c>
      <c r="CH7" s="124">
        <f t="shared" si="51"/>
        <v>0</v>
      </c>
      <c r="CI7" s="53"/>
      <c r="CJ7" s="146" t="str">
        <f t="shared" si="52"/>
        <v/>
      </c>
      <c r="CK7" s="183">
        <v>0</v>
      </c>
      <c r="CL7" s="43">
        <f>IF(CK7=0,0,ROUND($B7*$B$20^9/$C7*CK7,0))</f>
        <v>0</v>
      </c>
      <c r="CM7" s="123">
        <f t="shared" si="53"/>
        <v>0</v>
      </c>
      <c r="CN7" s="43">
        <f>IF($D7=0, 0, ROUND($CL7*VLOOKUP($D7, 'Finge and HI'!$C:$E, 2, FALSE), 0))</f>
        <v>0</v>
      </c>
      <c r="CO7" s="43">
        <f>IF($B7=0, 0, ROUND(VLOOKUP($D7&amp;$CP$2, 'Finge and HI'!$A:$E, 5, FALSE)/$C7*CK7,0))</f>
        <v>0</v>
      </c>
      <c r="CP7" s="43">
        <f t="shared" si="54"/>
        <v>0</v>
      </c>
      <c r="CQ7" s="124">
        <f t="shared" si="55"/>
        <v>0</v>
      </c>
      <c r="CR7" s="53"/>
      <c r="CS7" s="95">
        <f t="shared" si="16"/>
        <v>0</v>
      </c>
      <c r="CT7" s="95">
        <f t="shared" si="17"/>
        <v>0</v>
      </c>
      <c r="CU7" s="43" t="str">
        <f t="shared" si="5"/>
        <v xml:space="preserve"> </v>
      </c>
    </row>
    <row r="8" spans="1:99" s="54" customFormat="1" ht="12.75" customHeight="1" outlineLevel="1" x14ac:dyDescent="0.2">
      <c r="A8" s="43">
        <f t="shared" si="57"/>
        <v>0</v>
      </c>
      <c r="B8" s="184"/>
      <c r="C8" s="190"/>
      <c r="D8" s="225"/>
      <c r="E8" s="191"/>
      <c r="F8" s="53"/>
      <c r="G8" s="182"/>
      <c r="H8" s="183">
        <v>0</v>
      </c>
      <c r="I8" s="43">
        <f t="shared" si="58"/>
        <v>0</v>
      </c>
      <c r="J8" s="123">
        <f t="shared" ref="J8" si="59">IF(I8=0,0,M8/I8)</f>
        <v>0</v>
      </c>
      <c r="K8" s="43">
        <f>IF($D8=0, 0, ROUND($I8*VLOOKUP($D8, 'Finge and HI'!$C:$E, 2, FALSE), 0))</f>
        <v>0</v>
      </c>
      <c r="L8" s="43">
        <f>IF($B8=0, 0, ROUND(VLOOKUP($D8&amp;$M$2, 'Finge and HI'!$A:$E, 5, FALSE)/$C8*H8,0))</f>
        <v>0</v>
      </c>
      <c r="M8" s="43">
        <f t="shared" si="6"/>
        <v>0</v>
      </c>
      <c r="N8" s="124">
        <f t="shared" si="7"/>
        <v>0</v>
      </c>
      <c r="O8" s="53"/>
      <c r="P8" s="146" t="str">
        <f t="shared" si="22"/>
        <v/>
      </c>
      <c r="Q8" s="183">
        <v>0</v>
      </c>
      <c r="R8" s="43">
        <f>IF(Q8=0,0,ROUND($B8*$B$20/$C8*Q8,0))</f>
        <v>0</v>
      </c>
      <c r="S8" s="123">
        <f t="shared" si="23"/>
        <v>0</v>
      </c>
      <c r="T8" s="43">
        <f>IF($D8=0, 0, ROUND($R8*VLOOKUP($D8, 'Finge and HI'!$C:$E, 2, FALSE), 0))</f>
        <v>0</v>
      </c>
      <c r="U8" s="43">
        <f>IF($B8=0, 0, ROUND(VLOOKUP($D8&amp;$V$2, 'Finge and HI'!$A:$E, 5, FALSE)/$C8*Q8,0))</f>
        <v>0</v>
      </c>
      <c r="V8" s="43">
        <f t="shared" si="8"/>
        <v>0</v>
      </c>
      <c r="W8" s="124">
        <f t="shared" si="9"/>
        <v>0</v>
      </c>
      <c r="X8" s="53"/>
      <c r="Y8" s="146" t="str">
        <f t="shared" si="26"/>
        <v/>
      </c>
      <c r="Z8" s="183">
        <v>0</v>
      </c>
      <c r="AA8" s="43">
        <f>IF(Z8=0,0,ROUND($B8*$B$20^2/$C8*Z8,0))</f>
        <v>0</v>
      </c>
      <c r="AB8" s="123">
        <f t="shared" si="27"/>
        <v>0</v>
      </c>
      <c r="AC8" s="43">
        <f>IF($D8=0, 0, ROUND($AA8*VLOOKUP($D8, 'Finge and HI'!$C:$E, 2, FALSE), 0))</f>
        <v>0</v>
      </c>
      <c r="AD8" s="43">
        <f>IF($B8=0, 0, ROUND(VLOOKUP($D8&amp;$AE$2, 'Finge and HI'!$A:$E, 5, FALSE)/$C8*Z8,0))</f>
        <v>0</v>
      </c>
      <c r="AE8" s="43">
        <f t="shared" si="10"/>
        <v>0</v>
      </c>
      <c r="AF8" s="124">
        <f t="shared" si="11"/>
        <v>0</v>
      </c>
      <c r="AG8" s="53"/>
      <c r="AH8" s="146" t="str">
        <f t="shared" si="30"/>
        <v/>
      </c>
      <c r="AI8" s="183">
        <v>0</v>
      </c>
      <c r="AJ8" s="43">
        <f>IF(AI8=0,0,ROUND($B8*$B$20^3/$C8*AI8,0))</f>
        <v>0</v>
      </c>
      <c r="AK8" s="123">
        <f t="shared" si="31"/>
        <v>0</v>
      </c>
      <c r="AL8" s="43">
        <f>IF($D8=0, 0, ROUND($AJ8*VLOOKUP($D8, 'Finge and HI'!$C:$E, 2, FALSE), 0))</f>
        <v>0</v>
      </c>
      <c r="AM8" s="43">
        <f>IF($B8=0, 0, ROUND(VLOOKUP($D8&amp;AN$2, 'Finge and HI'!$A:$E, 5, FALSE)/$C8*AI8,0))</f>
        <v>0</v>
      </c>
      <c r="AN8" s="43">
        <f t="shared" si="12"/>
        <v>0</v>
      </c>
      <c r="AO8" s="124">
        <f t="shared" si="13"/>
        <v>0</v>
      </c>
      <c r="AP8" s="53"/>
      <c r="AQ8" s="146" t="str">
        <f t="shared" si="34"/>
        <v/>
      </c>
      <c r="AR8" s="183">
        <v>0</v>
      </c>
      <c r="AS8" s="43">
        <f>IF(AR8=0,0,ROUND($B8*$B$20^4/$C8*AR8,0))</f>
        <v>0</v>
      </c>
      <c r="AT8" s="123">
        <f t="shared" si="35"/>
        <v>0</v>
      </c>
      <c r="AU8" s="43">
        <f>IF($D8=0, 0, ROUND($AS8*VLOOKUP($D8, 'Finge and HI'!$C:$E, 2, FALSE), 0))</f>
        <v>0</v>
      </c>
      <c r="AV8" s="43">
        <f>IF($B8=0, 0, ROUND(VLOOKUP($D8&amp;$AW$2, 'Finge and HI'!$A:$E, 5, FALSE)/$C8*AR8,0))</f>
        <v>0</v>
      </c>
      <c r="AW8" s="43">
        <f t="shared" si="14"/>
        <v>0</v>
      </c>
      <c r="AX8" s="124">
        <f t="shared" si="15"/>
        <v>0</v>
      </c>
      <c r="AY8" s="53"/>
      <c r="AZ8" s="146" t="str">
        <f t="shared" si="36"/>
        <v/>
      </c>
      <c r="BA8" s="183">
        <v>0</v>
      </c>
      <c r="BB8" s="43">
        <f>IF(BA8=0,0,ROUND($B8*$B$20^5/$C8*BA8,0))</f>
        <v>0</v>
      </c>
      <c r="BC8" s="123">
        <f t="shared" si="37"/>
        <v>0</v>
      </c>
      <c r="BD8" s="43">
        <f>IF($D8=0, 0, ROUND($BB8*VLOOKUP($D8, 'Finge and HI'!$C:$E, 2, FALSE), 0))</f>
        <v>0</v>
      </c>
      <c r="BE8" s="43">
        <f>IF($B8=0, 0, ROUND(VLOOKUP($D8&amp;$BF$2, 'Finge and HI'!$A:$E, 5, FALSE)/$C8*BA8,0))</f>
        <v>0</v>
      </c>
      <c r="BF8" s="43">
        <f t="shared" si="38"/>
        <v>0</v>
      </c>
      <c r="BG8" s="124">
        <f t="shared" si="39"/>
        <v>0</v>
      </c>
      <c r="BH8" s="53"/>
      <c r="BI8" s="146" t="str">
        <f t="shared" si="40"/>
        <v/>
      </c>
      <c r="BJ8" s="183">
        <v>0</v>
      </c>
      <c r="BK8" s="43">
        <f>IF(BJ8=0,0,ROUND($B8*$B$20^6/$C8*BJ8,0))</f>
        <v>0</v>
      </c>
      <c r="BL8" s="123">
        <f t="shared" si="41"/>
        <v>0</v>
      </c>
      <c r="BM8" s="43">
        <f>IF($D8=0, 0, ROUND($BK8*VLOOKUP($D8, 'Finge and HI'!$C:$E, 2, FALSE), 0))</f>
        <v>0</v>
      </c>
      <c r="BN8" s="43">
        <f>IF($B8=0, 0, ROUND(VLOOKUP($D8&amp;$BO$2, 'Finge and HI'!$A:$E, 5, FALSE)/$C8*BJ8,0))</f>
        <v>0</v>
      </c>
      <c r="BO8" s="43">
        <f t="shared" si="42"/>
        <v>0</v>
      </c>
      <c r="BP8" s="124">
        <f t="shared" si="43"/>
        <v>0</v>
      </c>
      <c r="BQ8" s="53"/>
      <c r="BR8" s="146" t="str">
        <f t="shared" si="44"/>
        <v/>
      </c>
      <c r="BS8" s="183">
        <v>0</v>
      </c>
      <c r="BT8" s="43">
        <f>IF(BS8=0,0,ROUND($B8*$B$20^7/$C8*BS8,0))</f>
        <v>0</v>
      </c>
      <c r="BU8" s="123">
        <f t="shared" si="45"/>
        <v>0</v>
      </c>
      <c r="BV8" s="43">
        <f>IF($D8=0, 0, ROUND($BT8*VLOOKUP($D8, 'Finge and HI'!$C:$E, 2, FALSE), 0))</f>
        <v>0</v>
      </c>
      <c r="BW8" s="43">
        <f>IF($B8=0, 0, ROUND(VLOOKUP($D8&amp;$BX$2, 'Finge and HI'!$A:$E, 5, FALSE)/$C8*BS8,0))</f>
        <v>0</v>
      </c>
      <c r="BX8" s="43">
        <f t="shared" si="46"/>
        <v>0</v>
      </c>
      <c r="BY8" s="124">
        <f t="shared" si="47"/>
        <v>0</v>
      </c>
      <c r="BZ8" s="53"/>
      <c r="CA8" s="146" t="str">
        <f t="shared" si="48"/>
        <v/>
      </c>
      <c r="CB8" s="183">
        <v>0</v>
      </c>
      <c r="CC8" s="43">
        <f>IF(CB8=0,0,ROUND($B8*$B$20^8/$C8*CB8,0))</f>
        <v>0</v>
      </c>
      <c r="CD8" s="123">
        <f t="shared" si="49"/>
        <v>0</v>
      </c>
      <c r="CE8" s="43">
        <f>IF($D8=0, 0, ROUND($CC8*VLOOKUP($D8, 'Finge and HI'!$C:$E, 2, FALSE), 0))</f>
        <v>0</v>
      </c>
      <c r="CF8" s="43">
        <f>IF($B8=0, 0, ROUND(VLOOKUP($D8&amp;$CG$2, 'Finge and HI'!$A:$E, 5, FALSE)/$C8*CB8,0))</f>
        <v>0</v>
      </c>
      <c r="CG8" s="43">
        <f t="shared" si="50"/>
        <v>0</v>
      </c>
      <c r="CH8" s="124">
        <f t="shared" si="51"/>
        <v>0</v>
      </c>
      <c r="CI8" s="53"/>
      <c r="CJ8" s="146" t="str">
        <f t="shared" si="52"/>
        <v/>
      </c>
      <c r="CK8" s="183">
        <v>0</v>
      </c>
      <c r="CL8" s="43">
        <f>IF(CK8=0,0,ROUND($B8*$B$20^9/$C8*CK8,0))</f>
        <v>0</v>
      </c>
      <c r="CM8" s="123">
        <f t="shared" si="53"/>
        <v>0</v>
      </c>
      <c r="CN8" s="43">
        <f>IF($D8=0, 0, ROUND($CL8*VLOOKUP($D8, 'Finge and HI'!$C:$E, 2, FALSE), 0))</f>
        <v>0</v>
      </c>
      <c r="CO8" s="43">
        <f>IF($B8=0, 0, ROUND(VLOOKUP($D8&amp;$CP$2, 'Finge and HI'!$A:$E, 5, FALSE)/$C8*CK8,0))</f>
        <v>0</v>
      </c>
      <c r="CP8" s="43">
        <f t="shared" si="54"/>
        <v>0</v>
      </c>
      <c r="CQ8" s="124">
        <f t="shared" si="55"/>
        <v>0</v>
      </c>
      <c r="CR8" s="53"/>
      <c r="CS8" s="95">
        <f t="shared" si="16"/>
        <v>0</v>
      </c>
      <c r="CT8" s="95">
        <f t="shared" si="17"/>
        <v>0</v>
      </c>
      <c r="CU8" s="43" t="str">
        <f t="shared" si="5"/>
        <v xml:space="preserve"> </v>
      </c>
    </row>
    <row r="9" spans="1:99" s="40" customFormat="1" ht="12.75" customHeight="1" outlineLevel="1" x14ac:dyDescent="0.2">
      <c r="B9" s="111"/>
      <c r="C9" s="111"/>
      <c r="D9" s="186"/>
      <c r="E9" s="111"/>
      <c r="F9" s="52"/>
      <c r="G9" s="125"/>
      <c r="H9" s="111"/>
      <c r="I9" s="111"/>
      <c r="J9" s="100"/>
      <c r="K9" s="111"/>
      <c r="M9" s="111"/>
      <c r="N9" s="126"/>
      <c r="O9" s="52"/>
      <c r="P9" s="125"/>
      <c r="Q9" s="111"/>
      <c r="R9" s="111"/>
      <c r="S9" s="100"/>
      <c r="T9" s="43"/>
      <c r="U9" s="43"/>
      <c r="V9" s="111"/>
      <c r="W9" s="126"/>
      <c r="X9" s="52"/>
      <c r="Y9" s="125"/>
      <c r="Z9" s="111"/>
      <c r="AA9" s="111"/>
      <c r="AB9" s="100"/>
      <c r="AC9" s="43"/>
      <c r="AD9" s="43"/>
      <c r="AE9" s="111"/>
      <c r="AF9" s="126"/>
      <c r="AG9" s="52"/>
      <c r="AH9" s="125"/>
      <c r="AI9" s="111"/>
      <c r="AJ9" s="111"/>
      <c r="AK9" s="100"/>
      <c r="AL9" s="43"/>
      <c r="AM9" s="43"/>
      <c r="AN9" s="111"/>
      <c r="AO9" s="126"/>
      <c r="AP9" s="52"/>
      <c r="AQ9" s="125"/>
      <c r="AR9" s="111"/>
      <c r="AS9" s="111"/>
      <c r="AT9" s="100"/>
      <c r="AU9" s="43"/>
      <c r="AV9" s="43"/>
      <c r="AW9" s="111"/>
      <c r="AX9" s="126"/>
      <c r="AY9" s="52"/>
      <c r="AZ9" s="125"/>
      <c r="BA9" s="111"/>
      <c r="BB9" s="111"/>
      <c r="BC9" s="123"/>
      <c r="BD9" s="43"/>
      <c r="BE9" s="43"/>
      <c r="BF9" s="43"/>
      <c r="BG9" s="124"/>
      <c r="BH9" s="52"/>
      <c r="BI9" s="125"/>
      <c r="BJ9" s="111"/>
      <c r="BK9" s="43"/>
      <c r="BL9" s="123"/>
      <c r="BM9" s="43"/>
      <c r="BN9" s="43"/>
      <c r="BO9" s="43"/>
      <c r="BP9" s="124"/>
      <c r="BQ9" s="52"/>
      <c r="BR9" s="125"/>
      <c r="BS9" s="111"/>
      <c r="BT9" s="43"/>
      <c r="BU9" s="123"/>
      <c r="BV9" s="43"/>
      <c r="BW9" s="43"/>
      <c r="BX9" s="43"/>
      <c r="BY9" s="124"/>
      <c r="BZ9" s="52"/>
      <c r="CA9" s="125"/>
      <c r="CB9" s="111"/>
      <c r="CC9" s="43"/>
      <c r="CD9" s="123"/>
      <c r="CE9" s="43"/>
      <c r="CF9" s="43"/>
      <c r="CG9" s="43"/>
      <c r="CH9" s="124"/>
      <c r="CI9" s="52"/>
      <c r="CJ9" s="125"/>
      <c r="CK9" s="111"/>
      <c r="CL9" s="43"/>
      <c r="CM9" s="123"/>
      <c r="CN9" s="43"/>
      <c r="CO9" s="43"/>
      <c r="CP9" s="43"/>
      <c r="CQ9" s="124"/>
      <c r="CR9" s="52"/>
      <c r="CS9" s="305"/>
      <c r="CT9" s="305"/>
      <c r="CU9" s="95"/>
    </row>
    <row r="10" spans="1:99" s="40" customFormat="1" ht="12.75" customHeight="1" outlineLevel="1" x14ac:dyDescent="0.2">
      <c r="A10" s="71" t="s">
        <v>48</v>
      </c>
      <c r="B10" s="321" t="s">
        <v>48</v>
      </c>
      <c r="C10" s="321"/>
      <c r="D10" s="321"/>
      <c r="E10" s="322"/>
      <c r="F10" s="52"/>
      <c r="G10" s="180" t="s">
        <v>48</v>
      </c>
      <c r="H10" s="177"/>
      <c r="I10" s="178">
        <f>SUM(I11:I17)</f>
        <v>0</v>
      </c>
      <c r="J10" s="100"/>
      <c r="K10" s="178">
        <f t="shared" ref="K10:N10" si="60">SUM(K11:K17)</f>
        <v>0</v>
      </c>
      <c r="L10" s="178">
        <f>SUM(L11:L17)</f>
        <v>0</v>
      </c>
      <c r="M10" s="178">
        <f>SUM(M11:M17)</f>
        <v>0</v>
      </c>
      <c r="N10" s="179">
        <f t="shared" si="60"/>
        <v>0</v>
      </c>
      <c r="O10" s="52"/>
      <c r="P10" s="180" t="s">
        <v>48</v>
      </c>
      <c r="Q10" s="177"/>
      <c r="R10" s="178">
        <f>SUM(R11:R17)</f>
        <v>0</v>
      </c>
      <c r="S10" s="100"/>
      <c r="T10" s="178">
        <f>SUM(T11:T17)</f>
        <v>0</v>
      </c>
      <c r="U10" s="178">
        <f t="shared" ref="U10:W10" si="61">SUM(U11:U17)</f>
        <v>0</v>
      </c>
      <c r="V10" s="178">
        <f t="shared" si="61"/>
        <v>0</v>
      </c>
      <c r="W10" s="179">
        <f t="shared" si="61"/>
        <v>0</v>
      </c>
      <c r="X10" s="52"/>
      <c r="Y10" s="180" t="s">
        <v>48</v>
      </c>
      <c r="Z10" s="177"/>
      <c r="AA10" s="178">
        <f>SUM(AA11:AA17)</f>
        <v>0</v>
      </c>
      <c r="AB10" s="100"/>
      <c r="AC10" s="185">
        <f>SUM(AC11:AC17)</f>
        <v>0</v>
      </c>
      <c r="AD10" s="185">
        <f t="shared" ref="AD10:AF10" si="62">SUM(AD11:AD17)</f>
        <v>0</v>
      </c>
      <c r="AE10" s="178">
        <f t="shared" si="62"/>
        <v>0</v>
      </c>
      <c r="AF10" s="179">
        <f t="shared" si="62"/>
        <v>0</v>
      </c>
      <c r="AG10" s="52"/>
      <c r="AH10" s="180" t="s">
        <v>48</v>
      </c>
      <c r="AI10" s="177"/>
      <c r="AJ10" s="178">
        <f>SUM(AJ11:AJ17)</f>
        <v>0</v>
      </c>
      <c r="AK10" s="100"/>
      <c r="AL10" s="178">
        <f>SUM(AL11:AL17)</f>
        <v>0</v>
      </c>
      <c r="AM10" s="178">
        <f t="shared" ref="AM10:AO10" si="63">SUM(AM11:AM17)</f>
        <v>0</v>
      </c>
      <c r="AN10" s="178">
        <f t="shared" si="63"/>
        <v>0</v>
      </c>
      <c r="AO10" s="179">
        <f t="shared" si="63"/>
        <v>0</v>
      </c>
      <c r="AP10" s="52"/>
      <c r="AQ10" s="180" t="s">
        <v>48</v>
      </c>
      <c r="AR10" s="177"/>
      <c r="AS10" s="178">
        <f>SUM(AS11:AS17)</f>
        <v>0</v>
      </c>
      <c r="AT10" s="100"/>
      <c r="AU10" s="178">
        <f>SUM(AU11:AU17)</f>
        <v>0</v>
      </c>
      <c r="AV10" s="178">
        <f t="shared" ref="AV10:AX10" si="64">SUM(AV11:AV17)</f>
        <v>0</v>
      </c>
      <c r="AW10" s="178">
        <f t="shared" si="64"/>
        <v>0</v>
      </c>
      <c r="AX10" s="179">
        <f t="shared" si="64"/>
        <v>0</v>
      </c>
      <c r="AY10" s="52"/>
      <c r="AZ10" s="180" t="s">
        <v>48</v>
      </c>
      <c r="BA10" s="177"/>
      <c r="BB10" s="178">
        <f>SUM(BB11:BB17)</f>
        <v>0</v>
      </c>
      <c r="BC10" s="123"/>
      <c r="BD10" s="178">
        <f>SUM(BD11:BD17)</f>
        <v>0</v>
      </c>
      <c r="BE10" s="178">
        <f t="shared" ref="BE10" si="65">SUM(BE11:BE17)</f>
        <v>0</v>
      </c>
      <c r="BF10" s="178">
        <f t="shared" ref="BF10" si="66">SUM(BF11:BF17)</f>
        <v>0</v>
      </c>
      <c r="BG10" s="178">
        <f t="shared" ref="BG10" si="67">SUM(BG11:BG17)</f>
        <v>0</v>
      </c>
      <c r="BH10" s="52"/>
      <c r="BI10" s="180" t="s">
        <v>48</v>
      </c>
      <c r="BJ10" s="177"/>
      <c r="BK10" s="226">
        <f>SUM(BK11:BK17)</f>
        <v>0</v>
      </c>
      <c r="BL10" s="123"/>
      <c r="BM10" s="178">
        <f>SUM(BM11:BM17)</f>
        <v>0</v>
      </c>
      <c r="BN10" s="178">
        <f t="shared" ref="BN10" si="68">SUM(BN11:BN17)</f>
        <v>0</v>
      </c>
      <c r="BO10" s="178">
        <f t="shared" ref="BO10" si="69">SUM(BO11:BO17)</f>
        <v>0</v>
      </c>
      <c r="BP10" s="178">
        <f t="shared" ref="BP10" si="70">SUM(BP11:BP17)</f>
        <v>0</v>
      </c>
      <c r="BQ10" s="52"/>
      <c r="BR10" s="180" t="s">
        <v>48</v>
      </c>
      <c r="BS10" s="177"/>
      <c r="BT10" s="226">
        <f>SUM(BT11:BT17)</f>
        <v>0</v>
      </c>
      <c r="BU10" s="123"/>
      <c r="BV10" s="178">
        <f>SUM(BV11:BV17)</f>
        <v>0</v>
      </c>
      <c r="BW10" s="178">
        <f t="shared" ref="BW10" si="71">SUM(BW11:BW17)</f>
        <v>0</v>
      </c>
      <c r="BX10" s="178">
        <f t="shared" ref="BX10" si="72">SUM(BX11:BX17)</f>
        <v>0</v>
      </c>
      <c r="BY10" s="178">
        <f t="shared" ref="BY10" si="73">SUM(BY11:BY17)</f>
        <v>0</v>
      </c>
      <c r="BZ10" s="52"/>
      <c r="CA10" s="180" t="s">
        <v>48</v>
      </c>
      <c r="CB10" s="177"/>
      <c r="CC10" s="226">
        <f>SUM(CC11:CC17)</f>
        <v>0</v>
      </c>
      <c r="CD10" s="123"/>
      <c r="CE10" s="178">
        <f>SUM(CE11:CE17)</f>
        <v>0</v>
      </c>
      <c r="CF10" s="178">
        <f t="shared" ref="CF10" si="74">SUM(CF11:CF17)</f>
        <v>0</v>
      </c>
      <c r="CG10" s="178">
        <f t="shared" ref="CG10" si="75">SUM(CG11:CG17)</f>
        <v>0</v>
      </c>
      <c r="CH10" s="178">
        <f t="shared" ref="CH10" si="76">SUM(CH11:CH17)</f>
        <v>0</v>
      </c>
      <c r="CI10" s="52"/>
      <c r="CJ10" s="180" t="s">
        <v>48</v>
      </c>
      <c r="CK10" s="177"/>
      <c r="CL10" s="226">
        <f>SUM(CL11:CL17)</f>
        <v>0</v>
      </c>
      <c r="CM10" s="123"/>
      <c r="CN10" s="178">
        <f>SUM(CN11:CN17)</f>
        <v>0</v>
      </c>
      <c r="CO10" s="178">
        <f t="shared" ref="CO10" si="77">SUM(CO11:CO17)</f>
        <v>0</v>
      </c>
      <c r="CP10" s="178">
        <f t="shared" ref="CP10" si="78">SUM(CP11:CP17)</f>
        <v>0</v>
      </c>
      <c r="CQ10" s="178">
        <f t="shared" ref="CQ10" si="79">SUM(CQ11:CQ17)</f>
        <v>0</v>
      </c>
      <c r="CR10" s="52"/>
      <c r="CS10" s="178">
        <f t="shared" si="16"/>
        <v>0</v>
      </c>
      <c r="CT10" s="178">
        <f t="shared" si="17"/>
        <v>0</v>
      </c>
      <c r="CU10" s="210" t="str">
        <f t="shared" ref="CU10:CU17" si="80">E10&amp;" "&amp;G10&amp;""</f>
        <v xml:space="preserve"> Other Personnel</v>
      </c>
    </row>
    <row r="11" spans="1:99" s="54" customFormat="1" ht="12.75" customHeight="1" outlineLevel="1" x14ac:dyDescent="0.2">
      <c r="A11" s="43">
        <f t="shared" ref="A11:A17" si="81">IF(C11=0,0,ROUND(B11/C11*12,0))</f>
        <v>0</v>
      </c>
      <c r="B11" s="184"/>
      <c r="C11" s="187"/>
      <c r="D11" s="182"/>
      <c r="E11" s="188"/>
      <c r="F11" s="53"/>
      <c r="G11" s="182"/>
      <c r="H11" s="183">
        <v>0</v>
      </c>
      <c r="I11" s="43">
        <f t="shared" ref="I11:I12" si="82">IF(H11=0,0,ROUND(($B11/$C11*H11),0))</f>
        <v>0</v>
      </c>
      <c r="J11" s="123">
        <f>IF(I11=0,0,M11/I11)</f>
        <v>0</v>
      </c>
      <c r="K11" s="43">
        <f>IF($D11=0, 0, ROUND($I11*VLOOKUP($D11, 'Finge and HI'!$C:$E, 2, FALSE), 0))</f>
        <v>0</v>
      </c>
      <c r="L11" s="43">
        <f>IF($B11=0, 0, ROUND(VLOOKUP($D11&amp;$M$2, 'Finge and HI'!$A:$E, 5, FALSE)/$C11*H11,0))</f>
        <v>0</v>
      </c>
      <c r="M11" s="43">
        <f t="shared" ref="M11:M17" si="83">K11+L11</f>
        <v>0</v>
      </c>
      <c r="N11" s="124">
        <f t="shared" ref="N11:N17" si="84">I11+M11</f>
        <v>0</v>
      </c>
      <c r="O11" s="53"/>
      <c r="P11" s="146" t="str">
        <f>IF($G11="", "",$G11)</f>
        <v/>
      </c>
      <c r="Q11" s="183">
        <v>0</v>
      </c>
      <c r="R11" s="43">
        <f t="shared" ref="R11:R17" si="85">IF(Q11=0,0,ROUND($B11*$B$20/$C11*Q11,0))</f>
        <v>0</v>
      </c>
      <c r="S11" s="123">
        <f>IF(R11=0,0,V11/R11)</f>
        <v>0</v>
      </c>
      <c r="T11" s="43">
        <f>IF($D11=0, 0, ROUND($R11*VLOOKUP($D11, 'Finge and HI'!$C:$E, 2, FALSE), 0))</f>
        <v>0</v>
      </c>
      <c r="U11" s="43">
        <f>IF($B11=0, 0, ROUND(VLOOKUP($D11&amp;$V$2, 'Finge and HI'!$A:$E, 5, FALSE)/$C11*Q11,0))</f>
        <v>0</v>
      </c>
      <c r="V11" s="43">
        <f t="shared" ref="V11:V17" si="86">T11+U11</f>
        <v>0</v>
      </c>
      <c r="W11" s="124">
        <f t="shared" ref="W11:W17" si="87">R11+V11</f>
        <v>0</v>
      </c>
      <c r="X11" s="53"/>
      <c r="Y11" s="146" t="str">
        <f>IF($G11="", "",$G11)</f>
        <v/>
      </c>
      <c r="Z11" s="183">
        <v>0</v>
      </c>
      <c r="AA11" s="43">
        <f t="shared" ref="AA11:AA17" si="88">IF(Z11=0,0,ROUND($B11*$B$20^2/$C11*Z11,0))</f>
        <v>0</v>
      </c>
      <c r="AB11" s="123">
        <f>IF(AA11=0,0,AE11/AA11)</f>
        <v>0</v>
      </c>
      <c r="AC11" s="43">
        <f>IF($D11=0, 0, ROUND($AA11*VLOOKUP($D11, 'Finge and HI'!$C:$E, 2, FALSE), 0))</f>
        <v>0</v>
      </c>
      <c r="AD11" s="43">
        <f>IF($B11=0, 0, ROUND(VLOOKUP($D11&amp;$AE$2, 'Finge and HI'!$A:$E, 5, FALSE)/$C11*Z11,0))</f>
        <v>0</v>
      </c>
      <c r="AE11" s="43">
        <f t="shared" ref="AE11:AE17" si="89">AC11+AD11</f>
        <v>0</v>
      </c>
      <c r="AF11" s="124">
        <f t="shared" ref="AF11:AF17" si="90">AA11+AE11</f>
        <v>0</v>
      </c>
      <c r="AG11" s="53"/>
      <c r="AH11" s="146" t="str">
        <f>IF($G11="", "",$G11)</f>
        <v/>
      </c>
      <c r="AI11" s="183">
        <v>0</v>
      </c>
      <c r="AJ11" s="43">
        <f t="shared" ref="AJ11:AJ17" si="91">IF(AI11=0,0,ROUND($B11*$B$20^3/$C11*AI11,0))</f>
        <v>0</v>
      </c>
      <c r="AK11" s="123">
        <f>IF(AJ11=0,0,AN11/AJ11)</f>
        <v>0</v>
      </c>
      <c r="AL11" s="43">
        <f>IF($D11=0, 0, ROUND($AJ11*VLOOKUP($D11, 'Finge and HI'!$C:$E, 2, FALSE), 0))</f>
        <v>0</v>
      </c>
      <c r="AM11" s="43">
        <f>IF($B11=0, 0, ROUND(VLOOKUP($D11&amp;AN$2, 'Finge and HI'!$A:$E, 5, FALSE)/$C11*AI11,0))</f>
        <v>0</v>
      </c>
      <c r="AN11" s="43">
        <f t="shared" ref="AN11:AN17" si="92">AL11+AM11</f>
        <v>0</v>
      </c>
      <c r="AO11" s="124">
        <f t="shared" ref="AO11:AO17" si="93">AJ11+AN11</f>
        <v>0</v>
      </c>
      <c r="AP11" s="53"/>
      <c r="AQ11" s="146" t="str">
        <f>IF($G11="", "",$G11)</f>
        <v/>
      </c>
      <c r="AR11" s="183">
        <v>0</v>
      </c>
      <c r="AS11" s="43">
        <f t="shared" ref="AS11:AS17" si="94">IF(AR11=0,0,ROUND($B11*$B$20^4/$C11*AR11,0))</f>
        <v>0</v>
      </c>
      <c r="AT11" s="123">
        <f>IF(AS11=0,0,AW11/AS11)</f>
        <v>0</v>
      </c>
      <c r="AU11" s="43">
        <f>IF($D11=0, 0, ROUND($AS11*VLOOKUP($D11, 'Finge and HI'!$C:$E, 2, FALSE), 0))</f>
        <v>0</v>
      </c>
      <c r="AV11" s="43">
        <f>IF($B11=0, 0, ROUND(VLOOKUP($D11&amp;$AW$2, 'Finge and HI'!$A:$E, 5, FALSE)/$C11*AR11,0))</f>
        <v>0</v>
      </c>
      <c r="AW11" s="43">
        <f t="shared" ref="AW11:AW17" si="95">AU11+AV11</f>
        <v>0</v>
      </c>
      <c r="AX11" s="124">
        <f t="shared" ref="AX11:AX17" si="96">AS11+AW11</f>
        <v>0</v>
      </c>
      <c r="AY11" s="53"/>
      <c r="AZ11" s="146" t="str">
        <f>IF($G11="", "",$G11)</f>
        <v/>
      </c>
      <c r="BA11" s="183">
        <v>0</v>
      </c>
      <c r="BB11" s="43">
        <f t="shared" ref="BB11:BB17" si="97">IF(BA11=0,0,ROUND($B11*$B$20^5/$C11*BA11,0))</f>
        <v>0</v>
      </c>
      <c r="BC11" s="123">
        <f t="shared" si="37"/>
        <v>0</v>
      </c>
      <c r="BD11" s="43">
        <f>IF($D11=0, 0, ROUND($BB11*VLOOKUP($D11, 'Finge and HI'!$C:$E, 2, FALSE), 0))</f>
        <v>0</v>
      </c>
      <c r="BE11" s="43">
        <f>IF($B11=0, 0, ROUND(VLOOKUP($D11&amp;$BF$2, 'Finge and HI'!$A:$E, 5, FALSE)/$C11*BA11,0))</f>
        <v>0</v>
      </c>
      <c r="BF11" s="43">
        <f t="shared" si="38"/>
        <v>0</v>
      </c>
      <c r="BG11" s="124">
        <f t="shared" si="39"/>
        <v>0</v>
      </c>
      <c r="BH11" s="53"/>
      <c r="BI11" s="146" t="str">
        <f>IF($G11="", "",$G11)</f>
        <v/>
      </c>
      <c r="BJ11" s="183">
        <v>0</v>
      </c>
      <c r="BK11" s="43">
        <f t="shared" ref="BK11:BK17" si="98">IF(BJ11=0,0,ROUND($B11*$B$20^6/$C11*BJ11,0))</f>
        <v>0</v>
      </c>
      <c r="BL11" s="123">
        <f t="shared" si="41"/>
        <v>0</v>
      </c>
      <c r="BM11" s="43">
        <f>IF($D11=0, 0, ROUND($BK11*VLOOKUP($D11, 'Finge and HI'!$C:$E, 2, FALSE), 0))</f>
        <v>0</v>
      </c>
      <c r="BN11" s="43">
        <f>IF($B11=0, 0, ROUND(VLOOKUP($D11&amp;$BO$2, 'Finge and HI'!$A:$E, 5, FALSE)/$C11*BJ11,0))</f>
        <v>0</v>
      </c>
      <c r="BO11" s="43">
        <f t="shared" si="42"/>
        <v>0</v>
      </c>
      <c r="BP11" s="124">
        <f t="shared" si="43"/>
        <v>0</v>
      </c>
      <c r="BQ11" s="53"/>
      <c r="BR11" s="146" t="str">
        <f>IF($G11="", "",$G11)</f>
        <v/>
      </c>
      <c r="BS11" s="183">
        <v>0</v>
      </c>
      <c r="BT11" s="43">
        <f t="shared" ref="BT11:BT17" si="99">IF(BS11=0,0,ROUND($B11*$B$20^7/$C11*BS11,0))</f>
        <v>0</v>
      </c>
      <c r="BU11" s="123">
        <f t="shared" si="45"/>
        <v>0</v>
      </c>
      <c r="BV11" s="43">
        <f>IF($D11=0, 0, ROUND($BT11*VLOOKUP($D11, 'Finge and HI'!$C:$E, 2, FALSE), 0))</f>
        <v>0</v>
      </c>
      <c r="BW11" s="43">
        <f>IF($B11=0, 0, ROUND(VLOOKUP($D11&amp;$BX$2, 'Finge and HI'!$A:$E, 5, FALSE)/$C11*BS11,0))</f>
        <v>0</v>
      </c>
      <c r="BX11" s="43">
        <f t="shared" si="46"/>
        <v>0</v>
      </c>
      <c r="BY11" s="124">
        <f t="shared" si="47"/>
        <v>0</v>
      </c>
      <c r="BZ11" s="53"/>
      <c r="CA11" s="146" t="str">
        <f>IF($G11="", "",$G11)</f>
        <v/>
      </c>
      <c r="CB11" s="183">
        <v>0</v>
      </c>
      <c r="CC11" s="43">
        <f t="shared" ref="CC11:CC17" si="100">IF(CB11=0,0,ROUND($B11*$B$20^8/$C11*CB11,0))</f>
        <v>0</v>
      </c>
      <c r="CD11" s="123">
        <f t="shared" si="49"/>
        <v>0</v>
      </c>
      <c r="CE11" s="43">
        <f>IF($D11=0, 0, ROUND($CC11*VLOOKUP($D11, 'Finge and HI'!$C:$E, 2, FALSE), 0))</f>
        <v>0</v>
      </c>
      <c r="CF11" s="43">
        <f>IF($B11=0, 0, ROUND(VLOOKUP($D11&amp;$CG$2, 'Finge and HI'!$A:$E, 5, FALSE)/$C11*CB11,0))</f>
        <v>0</v>
      </c>
      <c r="CG11" s="43">
        <f t="shared" si="50"/>
        <v>0</v>
      </c>
      <c r="CH11" s="124">
        <f t="shared" si="51"/>
        <v>0</v>
      </c>
      <c r="CI11" s="53"/>
      <c r="CJ11" s="146" t="str">
        <f>IF($G11="", "",$G11)</f>
        <v/>
      </c>
      <c r="CK11" s="183">
        <v>0</v>
      </c>
      <c r="CL11" s="43">
        <f t="shared" ref="CL11:CL17" si="101">IF(CK11=0,0,ROUND($B11*$B$20^9/$C11*CK11,0))</f>
        <v>0</v>
      </c>
      <c r="CM11" s="123">
        <f t="shared" si="53"/>
        <v>0</v>
      </c>
      <c r="CN11" s="43">
        <f>IF($D11=0, 0, ROUND($CL11*VLOOKUP($D11, 'Finge and HI'!$C:$E, 2, FALSE), 0))</f>
        <v>0</v>
      </c>
      <c r="CO11" s="43">
        <f>IF($B11=0, 0, ROUND(VLOOKUP($D11&amp;$CP$2, 'Finge and HI'!$A:$E, 5, FALSE)/$C11*CK11,0))</f>
        <v>0</v>
      </c>
      <c r="CP11" s="43">
        <f t="shared" si="54"/>
        <v>0</v>
      </c>
      <c r="CQ11" s="124">
        <f t="shared" si="55"/>
        <v>0</v>
      </c>
      <c r="CR11" s="53"/>
      <c r="CS11" s="95">
        <f t="shared" si="16"/>
        <v>0</v>
      </c>
      <c r="CT11" s="95">
        <f t="shared" si="17"/>
        <v>0</v>
      </c>
      <c r="CU11" s="43" t="str">
        <f t="shared" si="80"/>
        <v xml:space="preserve"> </v>
      </c>
    </row>
    <row r="12" spans="1:99" s="54" customFormat="1" ht="12.75" customHeight="1" outlineLevel="1" x14ac:dyDescent="0.2">
      <c r="A12" s="43">
        <f t="shared" si="81"/>
        <v>0</v>
      </c>
      <c r="B12" s="184"/>
      <c r="C12" s="187"/>
      <c r="D12" s="182"/>
      <c r="E12" s="188"/>
      <c r="F12" s="53"/>
      <c r="G12" s="182"/>
      <c r="H12" s="183">
        <v>0</v>
      </c>
      <c r="I12" s="43">
        <f t="shared" si="82"/>
        <v>0</v>
      </c>
      <c r="J12" s="123">
        <f t="shared" ref="J12:J17" si="102">IF(I12=0,0,M12/I12)</f>
        <v>0</v>
      </c>
      <c r="K12" s="43">
        <f>IF($D12=0, 0, ROUND($I12*VLOOKUP($D12, 'Finge and HI'!$C:$E, 2, FALSE), 0))</f>
        <v>0</v>
      </c>
      <c r="L12" s="43">
        <f>IF($B12=0, 0, ROUND(VLOOKUP($D12&amp;$M$2, 'Finge and HI'!$A:$E, 5, FALSE)/$C12*H12,0))</f>
        <v>0</v>
      </c>
      <c r="M12" s="43">
        <f t="shared" si="83"/>
        <v>0</v>
      </c>
      <c r="N12" s="124">
        <f t="shared" si="84"/>
        <v>0</v>
      </c>
      <c r="O12" s="53"/>
      <c r="P12" s="146" t="str">
        <f t="shared" ref="P12:P17" si="103">IF($G12="", "",$G12)</f>
        <v/>
      </c>
      <c r="Q12" s="183">
        <v>0</v>
      </c>
      <c r="R12" s="43">
        <f t="shared" si="85"/>
        <v>0</v>
      </c>
      <c r="S12" s="123">
        <f t="shared" ref="S12:S17" si="104">IF(R12=0,0,V12/R12)</f>
        <v>0</v>
      </c>
      <c r="T12" s="43">
        <f>IF($D12=0, 0, ROUND($R12*VLOOKUP($D12, 'Finge and HI'!$C:$E, 2, FALSE), 0))</f>
        <v>0</v>
      </c>
      <c r="U12" s="43">
        <f>IF($B12=0, 0, ROUND(VLOOKUP($D12&amp;$V$2, 'Finge and HI'!$A:$E, 5, FALSE)/$C12*Q12,0))</f>
        <v>0</v>
      </c>
      <c r="V12" s="43">
        <f t="shared" si="86"/>
        <v>0</v>
      </c>
      <c r="W12" s="124">
        <f t="shared" si="87"/>
        <v>0</v>
      </c>
      <c r="X12" s="53"/>
      <c r="Y12" s="146" t="str">
        <f t="shared" ref="Y12:Y17" si="105">IF($G12="", "",$G12)</f>
        <v/>
      </c>
      <c r="Z12" s="183">
        <v>0</v>
      </c>
      <c r="AA12" s="43">
        <f t="shared" si="88"/>
        <v>0</v>
      </c>
      <c r="AB12" s="123">
        <f t="shared" ref="AB12:AB17" si="106">IF(AA12=0,0,AE12/AA12)</f>
        <v>0</v>
      </c>
      <c r="AC12" s="43">
        <f>IF($D12=0, 0, ROUND($AA12*VLOOKUP($D12, 'Finge and HI'!$C:$E, 2, FALSE), 0))</f>
        <v>0</v>
      </c>
      <c r="AD12" s="43">
        <f>IF($B12=0, 0, ROUND(VLOOKUP($D12&amp;$AE$2, 'Finge and HI'!$A:$E, 5, FALSE)/$C12*Z12,0))</f>
        <v>0</v>
      </c>
      <c r="AE12" s="43">
        <f t="shared" si="89"/>
        <v>0</v>
      </c>
      <c r="AF12" s="124">
        <f t="shared" si="90"/>
        <v>0</v>
      </c>
      <c r="AG12" s="53"/>
      <c r="AH12" s="146" t="str">
        <f t="shared" ref="AH12:AH17" si="107">IF($G12="", "",$G12)</f>
        <v/>
      </c>
      <c r="AI12" s="183">
        <v>0</v>
      </c>
      <c r="AJ12" s="43">
        <f t="shared" si="91"/>
        <v>0</v>
      </c>
      <c r="AK12" s="123">
        <f t="shared" ref="AK12:AK17" si="108">IF(AJ12=0,0,AN12/AJ12)</f>
        <v>0</v>
      </c>
      <c r="AL12" s="43">
        <f>IF($D12=0, 0, ROUND($AJ12*VLOOKUP($D12, 'Finge and HI'!$C:$E, 2, FALSE), 0))</f>
        <v>0</v>
      </c>
      <c r="AM12" s="43">
        <f>IF($B12=0, 0, ROUND(VLOOKUP($D12&amp;AN$2, 'Finge and HI'!$A:$E, 5, FALSE)/$C12*AI12,0))</f>
        <v>0</v>
      </c>
      <c r="AN12" s="43">
        <f t="shared" si="92"/>
        <v>0</v>
      </c>
      <c r="AO12" s="124">
        <f t="shared" si="93"/>
        <v>0</v>
      </c>
      <c r="AP12" s="53"/>
      <c r="AQ12" s="146" t="str">
        <f t="shared" ref="AQ12:AQ17" si="109">IF($G12="", "",$G12)</f>
        <v/>
      </c>
      <c r="AR12" s="183">
        <v>0</v>
      </c>
      <c r="AS12" s="43">
        <f t="shared" si="94"/>
        <v>0</v>
      </c>
      <c r="AT12" s="123">
        <f t="shared" ref="AT12:AT17" si="110">IF(AS12=0,0,AW12/AS12)</f>
        <v>0</v>
      </c>
      <c r="AU12" s="43">
        <f>IF($D12=0, 0, ROUND($AS12*VLOOKUP($D12, 'Finge and HI'!$C:$E, 2, FALSE), 0))</f>
        <v>0</v>
      </c>
      <c r="AV12" s="43">
        <f>IF($B12=0, 0, ROUND(VLOOKUP($D12&amp;$AW$2, 'Finge and HI'!$A:$E, 5, FALSE)/$C12*AR12,0))</f>
        <v>0</v>
      </c>
      <c r="AW12" s="43">
        <f t="shared" si="95"/>
        <v>0</v>
      </c>
      <c r="AX12" s="124">
        <f t="shared" si="96"/>
        <v>0</v>
      </c>
      <c r="AY12" s="53"/>
      <c r="AZ12" s="146" t="str">
        <f t="shared" ref="AZ12:AZ17" si="111">IF($G12="", "",$G12)</f>
        <v/>
      </c>
      <c r="BA12" s="183">
        <v>0</v>
      </c>
      <c r="BB12" s="43">
        <f t="shared" si="97"/>
        <v>0</v>
      </c>
      <c r="BC12" s="123">
        <f t="shared" si="37"/>
        <v>0</v>
      </c>
      <c r="BD12" s="43">
        <f>IF($D12=0, 0, ROUND($BB12*VLOOKUP($D12, 'Finge and HI'!$C:$E, 2, FALSE), 0))</f>
        <v>0</v>
      </c>
      <c r="BE12" s="43">
        <f>IF($B12=0, 0, ROUND(VLOOKUP($D12&amp;$BF$2, 'Finge and HI'!$A:$E, 5, FALSE)/$C12*BA12,0))</f>
        <v>0</v>
      </c>
      <c r="BF12" s="43">
        <f t="shared" si="38"/>
        <v>0</v>
      </c>
      <c r="BG12" s="124">
        <f t="shared" si="39"/>
        <v>0</v>
      </c>
      <c r="BH12" s="53"/>
      <c r="BI12" s="146" t="str">
        <f t="shared" ref="BI12:BI17" si="112">IF($G12="", "",$G12)</f>
        <v/>
      </c>
      <c r="BJ12" s="183">
        <v>0</v>
      </c>
      <c r="BK12" s="43">
        <f t="shared" si="98"/>
        <v>0</v>
      </c>
      <c r="BL12" s="123">
        <f t="shared" si="41"/>
        <v>0</v>
      </c>
      <c r="BM12" s="43">
        <f>IF($D12=0, 0, ROUND($BK12*VLOOKUP($D12, 'Finge and HI'!$C:$E, 2, FALSE), 0))</f>
        <v>0</v>
      </c>
      <c r="BN12" s="43">
        <f>IF($B12=0, 0, ROUND(VLOOKUP($D12&amp;$BO$2, 'Finge and HI'!$A:$E, 5, FALSE)/$C12*BJ12,0))</f>
        <v>0</v>
      </c>
      <c r="BO12" s="43">
        <f t="shared" si="42"/>
        <v>0</v>
      </c>
      <c r="BP12" s="124">
        <f t="shared" si="43"/>
        <v>0</v>
      </c>
      <c r="BQ12" s="53"/>
      <c r="BR12" s="146" t="str">
        <f t="shared" ref="BR12:BR17" si="113">IF($G12="", "",$G12)</f>
        <v/>
      </c>
      <c r="BS12" s="183">
        <v>0</v>
      </c>
      <c r="BT12" s="43">
        <f t="shared" si="99"/>
        <v>0</v>
      </c>
      <c r="BU12" s="123">
        <f t="shared" si="45"/>
        <v>0</v>
      </c>
      <c r="BV12" s="43">
        <f>IF($D12=0, 0, ROUND($BT12*VLOOKUP($D12, 'Finge and HI'!$C:$E, 2, FALSE), 0))</f>
        <v>0</v>
      </c>
      <c r="BW12" s="43">
        <f>IF($B12=0, 0, ROUND(VLOOKUP($D12&amp;$BX$2, 'Finge and HI'!$A:$E, 5, FALSE)/$C12*BS12,0))</f>
        <v>0</v>
      </c>
      <c r="BX12" s="43">
        <f t="shared" si="46"/>
        <v>0</v>
      </c>
      <c r="BY12" s="124">
        <f t="shared" si="47"/>
        <v>0</v>
      </c>
      <c r="BZ12" s="53"/>
      <c r="CA12" s="146" t="str">
        <f t="shared" ref="CA12:CA17" si="114">IF($G12="", "",$G12)</f>
        <v/>
      </c>
      <c r="CB12" s="183">
        <v>0</v>
      </c>
      <c r="CC12" s="43">
        <f t="shared" si="100"/>
        <v>0</v>
      </c>
      <c r="CD12" s="123">
        <f t="shared" si="49"/>
        <v>0</v>
      </c>
      <c r="CE12" s="43">
        <f>IF($D12=0, 0, ROUND($CC12*VLOOKUP($D12, 'Finge and HI'!$C:$E, 2, FALSE), 0))</f>
        <v>0</v>
      </c>
      <c r="CF12" s="43">
        <f>IF($B12=0, 0, ROUND(VLOOKUP($D12&amp;$CG$2, 'Finge and HI'!$A:$E, 5, FALSE)/$C12*CB12,0))</f>
        <v>0</v>
      </c>
      <c r="CG12" s="43">
        <f t="shared" si="50"/>
        <v>0</v>
      </c>
      <c r="CH12" s="124">
        <f t="shared" si="51"/>
        <v>0</v>
      </c>
      <c r="CI12" s="53"/>
      <c r="CJ12" s="146" t="str">
        <f t="shared" ref="CJ12:CJ17" si="115">IF($G12="", "",$G12)</f>
        <v/>
      </c>
      <c r="CK12" s="183">
        <v>0</v>
      </c>
      <c r="CL12" s="43">
        <f t="shared" si="101"/>
        <v>0</v>
      </c>
      <c r="CM12" s="123">
        <f t="shared" si="53"/>
        <v>0</v>
      </c>
      <c r="CN12" s="43">
        <f>IF($D12=0, 0, ROUND($CL12*VLOOKUP($D12, 'Finge and HI'!$C:$E, 2, FALSE), 0))</f>
        <v>0</v>
      </c>
      <c r="CO12" s="43">
        <f>IF($B12=0, 0, ROUND(VLOOKUP($D12&amp;$CP$2, 'Finge and HI'!$A:$E, 5, FALSE)/$C12*CK12,0))</f>
        <v>0</v>
      </c>
      <c r="CP12" s="43">
        <f t="shared" si="54"/>
        <v>0</v>
      </c>
      <c r="CQ12" s="124">
        <f t="shared" si="55"/>
        <v>0</v>
      </c>
      <c r="CR12" s="53"/>
      <c r="CS12" s="95">
        <f t="shared" si="16"/>
        <v>0</v>
      </c>
      <c r="CT12" s="95">
        <f t="shared" si="17"/>
        <v>0</v>
      </c>
      <c r="CU12" s="43" t="str">
        <f t="shared" si="80"/>
        <v xml:space="preserve"> </v>
      </c>
    </row>
    <row r="13" spans="1:99" s="54" customFormat="1" ht="12.75" customHeight="1" outlineLevel="1" x14ac:dyDescent="0.2">
      <c r="A13" s="43">
        <f t="shared" ref="A13:A14" si="116">IF(C13=0,0,ROUND(B13/C13*12,0))</f>
        <v>58656</v>
      </c>
      <c r="B13" s="184">
        <v>58656</v>
      </c>
      <c r="C13" s="187">
        <v>12</v>
      </c>
      <c r="D13" s="182" t="s">
        <v>15</v>
      </c>
      <c r="E13" s="188" t="s">
        <v>15</v>
      </c>
      <c r="F13" s="53"/>
      <c r="G13" s="182"/>
      <c r="H13" s="183">
        <v>0</v>
      </c>
      <c r="I13" s="43">
        <f t="shared" ref="I13:I14" si="117">IF(H13=0,0,ROUND(($B13/$C13*H13),0))</f>
        <v>0</v>
      </c>
      <c r="J13" s="123">
        <f t="shared" si="102"/>
        <v>0</v>
      </c>
      <c r="K13" s="43">
        <f>IF($D13=0, 0, ROUND($I13*VLOOKUP($D13, 'Finge and HI'!$C:$E, 2, FALSE), 0))</f>
        <v>0</v>
      </c>
      <c r="L13" s="43">
        <f>IF($B13=0, 0, ROUND(VLOOKUP($D13&amp;$M$2, 'Finge and HI'!$A:$E, 5, FALSE)/$C13*H13,0))</f>
        <v>0</v>
      </c>
      <c r="M13" s="43">
        <f t="shared" ref="M13" si="118">K13+L13</f>
        <v>0</v>
      </c>
      <c r="N13" s="124">
        <f t="shared" ref="N13:N14" si="119">I13+M13</f>
        <v>0</v>
      </c>
      <c r="O13" s="53"/>
      <c r="P13" s="146" t="str">
        <f t="shared" si="103"/>
        <v/>
      </c>
      <c r="Q13" s="183">
        <v>0</v>
      </c>
      <c r="R13" s="43">
        <f t="shared" si="85"/>
        <v>0</v>
      </c>
      <c r="S13" s="123">
        <f t="shared" si="104"/>
        <v>0</v>
      </c>
      <c r="T13" s="43">
        <f>IF($D13=0, 0, ROUND($R13*VLOOKUP($D13, 'Finge and HI'!$C:$E, 2, FALSE), 0))</f>
        <v>0</v>
      </c>
      <c r="U13" s="43">
        <f>IF($B13=0, 0, ROUND(VLOOKUP($D13&amp;$V$2, 'Finge and HI'!$A:$E, 5, FALSE)/$C13*Q13,0))</f>
        <v>0</v>
      </c>
      <c r="V13" s="43">
        <f t="shared" ref="V13:V14" si="120">T13+U13</f>
        <v>0</v>
      </c>
      <c r="W13" s="124">
        <f t="shared" ref="W13:W14" si="121">R13+V13</f>
        <v>0</v>
      </c>
      <c r="X13" s="53"/>
      <c r="Y13" s="146" t="str">
        <f t="shared" si="105"/>
        <v/>
      </c>
      <c r="Z13" s="183">
        <v>0</v>
      </c>
      <c r="AA13" s="43">
        <f t="shared" si="88"/>
        <v>0</v>
      </c>
      <c r="AB13" s="123">
        <f t="shared" si="106"/>
        <v>0</v>
      </c>
      <c r="AC13" s="43">
        <f>IF($D13=0, 0, ROUND($AA13*VLOOKUP($D13, 'Finge and HI'!$C:$E, 2, FALSE), 0))</f>
        <v>0</v>
      </c>
      <c r="AD13" s="43">
        <f>IF($B13=0, 0, ROUND(VLOOKUP($D13&amp;$AE$2, 'Finge and HI'!$A:$E, 5, FALSE)/$C13*Z13,0))</f>
        <v>0</v>
      </c>
      <c r="AE13" s="43">
        <f t="shared" ref="AE13:AE14" si="122">AC13+AD13</f>
        <v>0</v>
      </c>
      <c r="AF13" s="124">
        <f t="shared" ref="AF13:AF14" si="123">AA13+AE13</f>
        <v>0</v>
      </c>
      <c r="AG13" s="53"/>
      <c r="AH13" s="146" t="str">
        <f t="shared" si="107"/>
        <v/>
      </c>
      <c r="AI13" s="183">
        <v>0</v>
      </c>
      <c r="AJ13" s="43">
        <f t="shared" si="91"/>
        <v>0</v>
      </c>
      <c r="AK13" s="123">
        <f t="shared" si="108"/>
        <v>0</v>
      </c>
      <c r="AL13" s="43">
        <f>IF($D13=0, 0, ROUND($AJ13*VLOOKUP($D13, 'Finge and HI'!$C:$E, 2, FALSE), 0))</f>
        <v>0</v>
      </c>
      <c r="AM13" s="43">
        <f>IF($B13=0, 0, ROUND(VLOOKUP($D13&amp;AN$2, 'Finge and HI'!$A:$E, 5, FALSE)/$C13*AI13,0))</f>
        <v>0</v>
      </c>
      <c r="AN13" s="43">
        <f t="shared" ref="AN13:AN14" si="124">AL13+AM13</f>
        <v>0</v>
      </c>
      <c r="AO13" s="124">
        <f t="shared" ref="AO13:AO14" si="125">AJ13+AN13</f>
        <v>0</v>
      </c>
      <c r="AP13" s="53"/>
      <c r="AQ13" s="146" t="str">
        <f t="shared" si="109"/>
        <v/>
      </c>
      <c r="AR13" s="183">
        <v>0</v>
      </c>
      <c r="AS13" s="43">
        <f t="shared" si="94"/>
        <v>0</v>
      </c>
      <c r="AT13" s="123">
        <f t="shared" si="110"/>
        <v>0</v>
      </c>
      <c r="AU13" s="43">
        <f>IF($D13=0, 0, ROUND($AS13*VLOOKUP($D13, 'Finge and HI'!$C:$E, 2, FALSE), 0))</f>
        <v>0</v>
      </c>
      <c r="AV13" s="43">
        <f>IF($B13=0, 0, ROUND(VLOOKUP($D13&amp;$AW$2, 'Finge and HI'!$A:$E, 5, FALSE)/$C13*AR13,0))</f>
        <v>0</v>
      </c>
      <c r="AW13" s="43">
        <f t="shared" si="95"/>
        <v>0</v>
      </c>
      <c r="AX13" s="124">
        <f t="shared" si="96"/>
        <v>0</v>
      </c>
      <c r="AY13" s="53"/>
      <c r="AZ13" s="146" t="str">
        <f t="shared" si="111"/>
        <v/>
      </c>
      <c r="BA13" s="183">
        <v>0</v>
      </c>
      <c r="BB13" s="43">
        <f t="shared" si="97"/>
        <v>0</v>
      </c>
      <c r="BC13" s="123">
        <f t="shared" si="37"/>
        <v>0</v>
      </c>
      <c r="BD13" s="43">
        <f>IF($D13=0, 0, ROUND($BB13*VLOOKUP($D13, 'Finge and HI'!$C:$E, 2, FALSE), 0))</f>
        <v>0</v>
      </c>
      <c r="BE13" s="43">
        <f>IF($B13=0, 0, ROUND(VLOOKUP($D13&amp;$BF$2, 'Finge and HI'!$A:$E, 5, FALSE)/$C13*BA13,0))</f>
        <v>0</v>
      </c>
      <c r="BF13" s="43">
        <f t="shared" si="38"/>
        <v>0</v>
      </c>
      <c r="BG13" s="124">
        <f t="shared" si="39"/>
        <v>0</v>
      </c>
      <c r="BH13" s="53"/>
      <c r="BI13" s="146" t="str">
        <f t="shared" si="112"/>
        <v/>
      </c>
      <c r="BJ13" s="183">
        <v>0</v>
      </c>
      <c r="BK13" s="43">
        <f t="shared" si="98"/>
        <v>0</v>
      </c>
      <c r="BL13" s="123">
        <f t="shared" si="41"/>
        <v>0</v>
      </c>
      <c r="BM13" s="43">
        <f>IF($D13=0, 0, ROUND($BK13*VLOOKUP($D13, 'Finge and HI'!$C:$E, 2, FALSE), 0))</f>
        <v>0</v>
      </c>
      <c r="BN13" s="43">
        <f>IF($B13=0, 0, ROUND(VLOOKUP($D13&amp;$BO$2, 'Finge and HI'!$A:$E, 5, FALSE)/$C13*BJ13,0))</f>
        <v>0</v>
      </c>
      <c r="BO13" s="43">
        <f t="shared" si="42"/>
        <v>0</v>
      </c>
      <c r="BP13" s="124">
        <f t="shared" si="43"/>
        <v>0</v>
      </c>
      <c r="BQ13" s="53"/>
      <c r="BR13" s="146" t="str">
        <f t="shared" si="113"/>
        <v/>
      </c>
      <c r="BS13" s="183">
        <v>0</v>
      </c>
      <c r="BT13" s="43">
        <f t="shared" si="99"/>
        <v>0</v>
      </c>
      <c r="BU13" s="123">
        <f t="shared" si="45"/>
        <v>0</v>
      </c>
      <c r="BV13" s="43">
        <f>IF($D13=0, 0, ROUND($BT13*VLOOKUP($D13, 'Finge and HI'!$C:$E, 2, FALSE), 0))</f>
        <v>0</v>
      </c>
      <c r="BW13" s="43">
        <f>IF($B13=0, 0, ROUND(VLOOKUP($D13&amp;$BX$2, 'Finge and HI'!$A:$E, 5, FALSE)/$C13*BS13,0))</f>
        <v>0</v>
      </c>
      <c r="BX13" s="43">
        <f t="shared" si="46"/>
        <v>0</v>
      </c>
      <c r="BY13" s="124">
        <f t="shared" si="47"/>
        <v>0</v>
      </c>
      <c r="BZ13" s="53"/>
      <c r="CA13" s="146" t="str">
        <f t="shared" si="114"/>
        <v/>
      </c>
      <c r="CB13" s="183">
        <v>0</v>
      </c>
      <c r="CC13" s="43">
        <f t="shared" si="100"/>
        <v>0</v>
      </c>
      <c r="CD13" s="123">
        <f t="shared" si="49"/>
        <v>0</v>
      </c>
      <c r="CE13" s="43">
        <f>IF($D13=0, 0, ROUND($CC13*VLOOKUP($D13, 'Finge and HI'!$C:$E, 2, FALSE), 0))</f>
        <v>0</v>
      </c>
      <c r="CF13" s="43">
        <f>IF($B13=0, 0, ROUND(VLOOKUP($D13&amp;$CG$2, 'Finge and HI'!$A:$E, 5, FALSE)/$C13*CB13,0))</f>
        <v>0</v>
      </c>
      <c r="CG13" s="43">
        <f t="shared" si="50"/>
        <v>0</v>
      </c>
      <c r="CH13" s="124">
        <f t="shared" si="51"/>
        <v>0</v>
      </c>
      <c r="CI13" s="53"/>
      <c r="CJ13" s="146" t="str">
        <f t="shared" si="115"/>
        <v/>
      </c>
      <c r="CK13" s="183">
        <v>0</v>
      </c>
      <c r="CL13" s="43">
        <f t="shared" si="101"/>
        <v>0</v>
      </c>
      <c r="CM13" s="123">
        <f t="shared" si="53"/>
        <v>0</v>
      </c>
      <c r="CN13" s="43">
        <f>IF($D13=0, 0, ROUND($CL13*VLOOKUP($D13, 'Finge and HI'!$C:$E, 2, FALSE), 0))</f>
        <v>0</v>
      </c>
      <c r="CO13" s="43">
        <f>IF($B13=0, 0, ROUND(VLOOKUP($D13&amp;$CP$2, 'Finge and HI'!$A:$E, 5, FALSE)/$C13*CK13,0))</f>
        <v>0</v>
      </c>
      <c r="CP13" s="43">
        <f t="shared" si="54"/>
        <v>0</v>
      </c>
      <c r="CQ13" s="124">
        <f t="shared" si="55"/>
        <v>0</v>
      </c>
      <c r="CR13" s="53"/>
      <c r="CS13" s="95">
        <f t="shared" si="16"/>
        <v>0</v>
      </c>
      <c r="CT13" s="95">
        <f t="shared" si="17"/>
        <v>0</v>
      </c>
      <c r="CU13" s="43" t="str">
        <f t="shared" ref="CU13:CU14" si="126">E13&amp;" "&amp;G13&amp;""</f>
        <v xml:space="preserve">Postdoc </v>
      </c>
    </row>
    <row r="14" spans="1:99" s="54" customFormat="1" ht="12.75" customHeight="1" outlineLevel="1" x14ac:dyDescent="0.2">
      <c r="A14" s="43">
        <f t="shared" si="116"/>
        <v>29900</v>
      </c>
      <c r="B14" s="184">
        <f>27500+2400</f>
        <v>29900</v>
      </c>
      <c r="C14" s="187">
        <v>12</v>
      </c>
      <c r="D14" s="182" t="s">
        <v>10</v>
      </c>
      <c r="E14" s="190" t="s">
        <v>199</v>
      </c>
      <c r="F14" s="53"/>
      <c r="G14" s="182"/>
      <c r="H14" s="183">
        <v>0</v>
      </c>
      <c r="I14" s="43">
        <f t="shared" si="117"/>
        <v>0</v>
      </c>
      <c r="J14" s="123">
        <f t="shared" si="102"/>
        <v>0</v>
      </c>
      <c r="K14" s="43">
        <f>IF($D14=0, 0, ROUND($I14*VLOOKUP($D14, 'Finge and HI'!$C:$E, 2, FALSE), 0))</f>
        <v>0</v>
      </c>
      <c r="L14" s="43">
        <f>IF($B14=0, 0, ROUND(VLOOKUP($D14&amp;$M$2, 'Finge and HI'!$A:$E, 5, FALSE)/$C14*H14,0))</f>
        <v>0</v>
      </c>
      <c r="M14" s="43">
        <f>K14+L14</f>
        <v>0</v>
      </c>
      <c r="N14" s="124">
        <f t="shared" si="119"/>
        <v>0</v>
      </c>
      <c r="O14" s="53"/>
      <c r="P14" s="146" t="str">
        <f t="shared" si="103"/>
        <v/>
      </c>
      <c r="Q14" s="183">
        <v>0</v>
      </c>
      <c r="R14" s="43">
        <f t="shared" si="85"/>
        <v>0</v>
      </c>
      <c r="S14" s="123">
        <f t="shared" si="104"/>
        <v>0</v>
      </c>
      <c r="T14" s="43">
        <f>IF($D14=0, 0, ROUND($R14*VLOOKUP($D14, 'Finge and HI'!$C:$E, 2, FALSE), 0))</f>
        <v>0</v>
      </c>
      <c r="U14" s="43">
        <f>IF($B14=0, 0, ROUND(VLOOKUP($D14&amp;$V$2, 'Finge and HI'!$A:$E, 5, FALSE)/$C14*Q14,0))</f>
        <v>0</v>
      </c>
      <c r="V14" s="43">
        <f t="shared" si="120"/>
        <v>0</v>
      </c>
      <c r="W14" s="124">
        <f t="shared" si="121"/>
        <v>0</v>
      </c>
      <c r="X14" s="53"/>
      <c r="Y14" s="146" t="str">
        <f t="shared" si="105"/>
        <v/>
      </c>
      <c r="Z14" s="183">
        <v>0</v>
      </c>
      <c r="AA14" s="43">
        <f t="shared" si="88"/>
        <v>0</v>
      </c>
      <c r="AB14" s="123">
        <f t="shared" si="106"/>
        <v>0</v>
      </c>
      <c r="AC14" s="43">
        <f>IF($D14=0, 0, ROUND($AA14*VLOOKUP($D14, 'Finge and HI'!$C:$E, 2, FALSE), 0))</f>
        <v>0</v>
      </c>
      <c r="AD14" s="43">
        <f>IF($B14=0, 0, ROUND(VLOOKUP($D14&amp;$AE$2, 'Finge and HI'!$A:$E, 5, FALSE)/$C14*Z14,0))</f>
        <v>0</v>
      </c>
      <c r="AE14" s="43">
        <f t="shared" si="122"/>
        <v>0</v>
      </c>
      <c r="AF14" s="124">
        <f t="shared" si="123"/>
        <v>0</v>
      </c>
      <c r="AG14" s="53"/>
      <c r="AH14" s="146" t="str">
        <f t="shared" si="107"/>
        <v/>
      </c>
      <c r="AI14" s="183">
        <v>0</v>
      </c>
      <c r="AJ14" s="43">
        <f t="shared" si="91"/>
        <v>0</v>
      </c>
      <c r="AK14" s="123">
        <f t="shared" si="108"/>
        <v>0</v>
      </c>
      <c r="AL14" s="43">
        <f>IF($D14=0, 0, ROUND($AJ14*VLOOKUP($D14, 'Finge and HI'!$C:$E, 2, FALSE), 0))</f>
        <v>0</v>
      </c>
      <c r="AM14" s="43">
        <f>IF($B14=0, 0, ROUND(VLOOKUP($D14&amp;AN$2, 'Finge and HI'!$A:$E, 5, FALSE)/$C14*AI14,0))</f>
        <v>0</v>
      </c>
      <c r="AN14" s="43">
        <f t="shared" si="124"/>
        <v>0</v>
      </c>
      <c r="AO14" s="124">
        <f t="shared" si="125"/>
        <v>0</v>
      </c>
      <c r="AP14" s="53"/>
      <c r="AQ14" s="146" t="str">
        <f t="shared" si="109"/>
        <v/>
      </c>
      <c r="AR14" s="183">
        <v>0</v>
      </c>
      <c r="AS14" s="43">
        <f t="shared" si="94"/>
        <v>0</v>
      </c>
      <c r="AT14" s="123">
        <f t="shared" si="110"/>
        <v>0</v>
      </c>
      <c r="AU14" s="43">
        <f>IF($D14=0, 0, ROUND($AS14*VLOOKUP($D14, 'Finge and HI'!$C:$E, 2, FALSE), 0))</f>
        <v>0</v>
      </c>
      <c r="AV14" s="43">
        <f>IF($B14=0, 0, ROUND(VLOOKUP($D14&amp;$AW$2, 'Finge and HI'!$A:$E, 5, FALSE)/$C14*AR14,0))</f>
        <v>0</v>
      </c>
      <c r="AW14" s="43">
        <f t="shared" ref="AW14" si="127">AU14+AV14</f>
        <v>0</v>
      </c>
      <c r="AX14" s="124">
        <f t="shared" ref="AX14" si="128">AS14+AW14</f>
        <v>0</v>
      </c>
      <c r="AY14" s="53"/>
      <c r="AZ14" s="146" t="str">
        <f t="shared" si="111"/>
        <v/>
      </c>
      <c r="BA14" s="183">
        <v>0</v>
      </c>
      <c r="BB14" s="43">
        <f t="shared" si="97"/>
        <v>0</v>
      </c>
      <c r="BC14" s="123">
        <f t="shared" si="37"/>
        <v>0</v>
      </c>
      <c r="BD14" s="43">
        <f>IF($D14=0, 0, ROUND($BB14*VLOOKUP($D14, 'Finge and HI'!$C:$E, 2, FALSE), 0))</f>
        <v>0</v>
      </c>
      <c r="BE14" s="43">
        <f>IF($B14=0, 0, ROUND(VLOOKUP($D14&amp;$BF$2, 'Finge and HI'!$A:$E, 5, FALSE)/$C14*BA14,0))</f>
        <v>0</v>
      </c>
      <c r="BF14" s="43">
        <f t="shared" si="38"/>
        <v>0</v>
      </c>
      <c r="BG14" s="124">
        <f t="shared" si="39"/>
        <v>0</v>
      </c>
      <c r="BH14" s="53"/>
      <c r="BI14" s="146" t="str">
        <f t="shared" si="112"/>
        <v/>
      </c>
      <c r="BJ14" s="183">
        <v>0</v>
      </c>
      <c r="BK14" s="43">
        <f t="shared" si="98"/>
        <v>0</v>
      </c>
      <c r="BL14" s="123">
        <f t="shared" si="41"/>
        <v>0</v>
      </c>
      <c r="BM14" s="43">
        <f>IF($D14=0, 0, ROUND($BK14*VLOOKUP($D14, 'Finge and HI'!$C:$E, 2, FALSE), 0))</f>
        <v>0</v>
      </c>
      <c r="BN14" s="43">
        <f>IF($B14=0, 0, ROUND(VLOOKUP($D14&amp;$BO$2, 'Finge and HI'!$A:$E, 5, FALSE)/$C14*BJ14,0))</f>
        <v>0</v>
      </c>
      <c r="BO14" s="43">
        <f t="shared" si="42"/>
        <v>0</v>
      </c>
      <c r="BP14" s="124">
        <f t="shared" si="43"/>
        <v>0</v>
      </c>
      <c r="BQ14" s="53"/>
      <c r="BR14" s="146" t="str">
        <f t="shared" si="113"/>
        <v/>
      </c>
      <c r="BS14" s="183">
        <v>0</v>
      </c>
      <c r="BT14" s="43">
        <f t="shared" si="99"/>
        <v>0</v>
      </c>
      <c r="BU14" s="123">
        <f t="shared" si="45"/>
        <v>0</v>
      </c>
      <c r="BV14" s="43">
        <f>IF($D14=0, 0, ROUND($BT14*VLOOKUP($D14, 'Finge and HI'!$C:$E, 2, FALSE), 0))</f>
        <v>0</v>
      </c>
      <c r="BW14" s="43">
        <f>IF($B14=0, 0, ROUND(VLOOKUP($D14&amp;$BX$2, 'Finge and HI'!$A:$E, 5, FALSE)/$C14*BS14,0))</f>
        <v>0</v>
      </c>
      <c r="BX14" s="43">
        <f t="shared" si="46"/>
        <v>0</v>
      </c>
      <c r="BY14" s="124">
        <f t="shared" si="47"/>
        <v>0</v>
      </c>
      <c r="BZ14" s="53"/>
      <c r="CA14" s="146" t="str">
        <f t="shared" si="114"/>
        <v/>
      </c>
      <c r="CB14" s="183">
        <v>0</v>
      </c>
      <c r="CC14" s="43">
        <f t="shared" si="100"/>
        <v>0</v>
      </c>
      <c r="CD14" s="123">
        <f t="shared" si="49"/>
        <v>0</v>
      </c>
      <c r="CE14" s="43">
        <f>IF($D14=0, 0, ROUND($CC14*VLOOKUP($D14, 'Finge and HI'!$C:$E, 2, FALSE), 0))</f>
        <v>0</v>
      </c>
      <c r="CF14" s="43">
        <f>IF($B14=0, 0, ROUND(VLOOKUP($D14&amp;$CG$2, 'Finge and HI'!$A:$E, 5, FALSE)/$C14*CB14,0))</f>
        <v>0</v>
      </c>
      <c r="CG14" s="43">
        <f t="shared" si="50"/>
        <v>0</v>
      </c>
      <c r="CH14" s="124">
        <f t="shared" si="51"/>
        <v>0</v>
      </c>
      <c r="CI14" s="53"/>
      <c r="CJ14" s="146" t="str">
        <f t="shared" si="115"/>
        <v/>
      </c>
      <c r="CK14" s="183">
        <v>0</v>
      </c>
      <c r="CL14" s="43">
        <f t="shared" si="101"/>
        <v>0</v>
      </c>
      <c r="CM14" s="123">
        <f t="shared" si="53"/>
        <v>0</v>
      </c>
      <c r="CN14" s="43">
        <f>IF($D14=0, 0, ROUND($CL14*VLOOKUP($D14, 'Finge and HI'!$C:$E, 2, FALSE), 0))</f>
        <v>0</v>
      </c>
      <c r="CO14" s="43">
        <f>IF($B14=0, 0, ROUND(VLOOKUP($D14&amp;$CP$2, 'Finge and HI'!$A:$E, 5, FALSE)/$C14*CK14,0))</f>
        <v>0</v>
      </c>
      <c r="CP14" s="43">
        <f t="shared" si="54"/>
        <v>0</v>
      </c>
      <c r="CQ14" s="124">
        <f t="shared" si="55"/>
        <v>0</v>
      </c>
      <c r="CR14" s="53"/>
      <c r="CS14" s="95">
        <f t="shared" si="16"/>
        <v>0</v>
      </c>
      <c r="CT14" s="95">
        <f t="shared" si="17"/>
        <v>0</v>
      </c>
      <c r="CU14" s="43" t="str">
        <f t="shared" si="126"/>
        <v xml:space="preserve">GRA 1 </v>
      </c>
    </row>
    <row r="15" spans="1:99" s="54" customFormat="1" ht="12.75" customHeight="1" outlineLevel="1" x14ac:dyDescent="0.2">
      <c r="A15" s="43">
        <f t="shared" si="81"/>
        <v>29900</v>
      </c>
      <c r="B15" s="184">
        <f>27500+2400</f>
        <v>29900</v>
      </c>
      <c r="C15" s="187">
        <v>12</v>
      </c>
      <c r="D15" s="182" t="s">
        <v>10</v>
      </c>
      <c r="E15" s="190" t="s">
        <v>196</v>
      </c>
      <c r="F15" s="53"/>
      <c r="G15" s="182"/>
      <c r="H15" s="183">
        <v>0</v>
      </c>
      <c r="I15" s="43">
        <f t="shared" ref="I15:I17" si="129">IF(H15=0,0,ROUND(($B15/$C15*H15),0))</f>
        <v>0</v>
      </c>
      <c r="J15" s="123">
        <f t="shared" si="102"/>
        <v>0</v>
      </c>
      <c r="K15" s="43">
        <f>IF($D15=0, 0, ROUND($I15*VLOOKUP($D15, 'Finge and HI'!$C:$E, 2, FALSE), 0))</f>
        <v>0</v>
      </c>
      <c r="L15" s="43">
        <f>IF($B15=0, 0, ROUND(VLOOKUP($D15&amp;$M$2, 'Finge and HI'!$A:$E, 5, FALSE)/$C15*H15,0))</f>
        <v>0</v>
      </c>
      <c r="M15" s="43">
        <f t="shared" si="83"/>
        <v>0</v>
      </c>
      <c r="N15" s="124">
        <f t="shared" si="84"/>
        <v>0</v>
      </c>
      <c r="O15" s="53"/>
      <c r="P15" s="146" t="str">
        <f t="shared" si="103"/>
        <v/>
      </c>
      <c r="Q15" s="183">
        <v>0</v>
      </c>
      <c r="R15" s="43">
        <f t="shared" si="85"/>
        <v>0</v>
      </c>
      <c r="S15" s="123">
        <f t="shared" si="104"/>
        <v>0</v>
      </c>
      <c r="T15" s="43">
        <f>IF($D15=0, 0, ROUND($R15*VLOOKUP($D15, 'Finge and HI'!$C:$E, 2, FALSE), 0))</f>
        <v>0</v>
      </c>
      <c r="U15" s="43">
        <f>IF($B15=0, 0, ROUND(VLOOKUP($D15&amp;$V$2, 'Finge and HI'!$A:$E, 5, FALSE)/$C15*Q15,0))</f>
        <v>0</v>
      </c>
      <c r="V15" s="43">
        <f t="shared" si="86"/>
        <v>0</v>
      </c>
      <c r="W15" s="124">
        <f t="shared" si="87"/>
        <v>0</v>
      </c>
      <c r="X15" s="53"/>
      <c r="Y15" s="146" t="str">
        <f t="shared" si="105"/>
        <v/>
      </c>
      <c r="Z15" s="183">
        <v>0</v>
      </c>
      <c r="AA15" s="43">
        <f t="shared" si="88"/>
        <v>0</v>
      </c>
      <c r="AB15" s="123">
        <f t="shared" si="106"/>
        <v>0</v>
      </c>
      <c r="AC15" s="43">
        <f>IF($D15=0, 0, ROUND($AA15*VLOOKUP($D15, 'Finge and HI'!$C:$E, 2, FALSE), 0))</f>
        <v>0</v>
      </c>
      <c r="AD15" s="43">
        <f>IF($B15=0, 0, ROUND(VLOOKUP($D15&amp;$AE$2, 'Finge and HI'!$A:$E, 5, FALSE)/$C15*Z15,0))</f>
        <v>0</v>
      </c>
      <c r="AE15" s="43">
        <f t="shared" si="89"/>
        <v>0</v>
      </c>
      <c r="AF15" s="124">
        <f t="shared" si="90"/>
        <v>0</v>
      </c>
      <c r="AG15" s="53"/>
      <c r="AH15" s="146" t="str">
        <f t="shared" si="107"/>
        <v/>
      </c>
      <c r="AI15" s="183">
        <v>0</v>
      </c>
      <c r="AJ15" s="43">
        <f t="shared" si="91"/>
        <v>0</v>
      </c>
      <c r="AK15" s="123">
        <f t="shared" si="108"/>
        <v>0</v>
      </c>
      <c r="AL15" s="43">
        <f>IF($D15=0, 0, ROUND($AJ15*VLOOKUP($D15, 'Finge and HI'!$C:$E, 2, FALSE), 0))</f>
        <v>0</v>
      </c>
      <c r="AM15" s="43">
        <f>IF($B15=0, 0, ROUND(VLOOKUP($D15&amp;AN$2, 'Finge and HI'!$A:$E, 5, FALSE)/$C15*AI15,0))</f>
        <v>0</v>
      </c>
      <c r="AN15" s="43">
        <f t="shared" si="92"/>
        <v>0</v>
      </c>
      <c r="AO15" s="124">
        <f t="shared" si="93"/>
        <v>0</v>
      </c>
      <c r="AP15" s="53"/>
      <c r="AQ15" s="146" t="str">
        <f t="shared" si="109"/>
        <v/>
      </c>
      <c r="AR15" s="183">
        <v>0</v>
      </c>
      <c r="AS15" s="43">
        <f t="shared" si="94"/>
        <v>0</v>
      </c>
      <c r="AT15" s="123">
        <f t="shared" si="110"/>
        <v>0</v>
      </c>
      <c r="AU15" s="43">
        <f>IF($D15=0, 0, ROUND($AS15*VLOOKUP($D15, 'Finge and HI'!$C:$E, 2, FALSE), 0))</f>
        <v>0</v>
      </c>
      <c r="AV15" s="43">
        <f>IF($B15=0, 0, ROUND(VLOOKUP($D15&amp;$AW$2, 'Finge and HI'!$A:$E, 5, FALSE)/$C15*AR15,0))</f>
        <v>0</v>
      </c>
      <c r="AW15" s="43">
        <f t="shared" si="95"/>
        <v>0</v>
      </c>
      <c r="AX15" s="124">
        <f t="shared" si="96"/>
        <v>0</v>
      </c>
      <c r="AY15" s="53"/>
      <c r="AZ15" s="146" t="str">
        <f t="shared" si="111"/>
        <v/>
      </c>
      <c r="BA15" s="183">
        <v>0</v>
      </c>
      <c r="BB15" s="43">
        <f t="shared" si="97"/>
        <v>0</v>
      </c>
      <c r="BC15" s="123">
        <f t="shared" si="37"/>
        <v>0</v>
      </c>
      <c r="BD15" s="43">
        <f>IF($D15=0, 0, ROUND($BB15*VLOOKUP($D15, 'Finge and HI'!$C:$E, 2, FALSE), 0))</f>
        <v>0</v>
      </c>
      <c r="BE15" s="43">
        <f>IF($B15=0, 0, ROUND(VLOOKUP($D15&amp;$BF$2, 'Finge and HI'!$A:$E, 5, FALSE)/$C15*BA15,0))</f>
        <v>0</v>
      </c>
      <c r="BF15" s="43">
        <f t="shared" si="38"/>
        <v>0</v>
      </c>
      <c r="BG15" s="124">
        <f t="shared" si="39"/>
        <v>0</v>
      </c>
      <c r="BH15" s="53"/>
      <c r="BI15" s="146" t="str">
        <f t="shared" si="112"/>
        <v/>
      </c>
      <c r="BJ15" s="183">
        <v>0</v>
      </c>
      <c r="BK15" s="43">
        <f t="shared" si="98"/>
        <v>0</v>
      </c>
      <c r="BL15" s="123">
        <f t="shared" si="41"/>
        <v>0</v>
      </c>
      <c r="BM15" s="43">
        <f>IF($D15=0, 0, ROUND($BK15*VLOOKUP($D15, 'Finge and HI'!$C:$E, 2, FALSE), 0))</f>
        <v>0</v>
      </c>
      <c r="BN15" s="43">
        <f>IF($B15=0, 0, ROUND(VLOOKUP($D15&amp;$BO$2, 'Finge and HI'!$A:$E, 5, FALSE)/$C15*BJ15,0))</f>
        <v>0</v>
      </c>
      <c r="BO15" s="43">
        <f t="shared" si="42"/>
        <v>0</v>
      </c>
      <c r="BP15" s="124">
        <f t="shared" si="43"/>
        <v>0</v>
      </c>
      <c r="BQ15" s="53"/>
      <c r="BR15" s="146" t="str">
        <f t="shared" si="113"/>
        <v/>
      </c>
      <c r="BS15" s="183">
        <v>0</v>
      </c>
      <c r="BT15" s="43">
        <f t="shared" si="99"/>
        <v>0</v>
      </c>
      <c r="BU15" s="123">
        <f t="shared" si="45"/>
        <v>0</v>
      </c>
      <c r="BV15" s="43">
        <f>IF($D15=0, 0, ROUND($BT15*VLOOKUP($D15, 'Finge and HI'!$C:$E, 2, FALSE), 0))</f>
        <v>0</v>
      </c>
      <c r="BW15" s="43">
        <f>IF($B15=0, 0, ROUND(VLOOKUP($D15&amp;$BX$2, 'Finge and HI'!$A:$E, 5, FALSE)/$C15*BS15,0))</f>
        <v>0</v>
      </c>
      <c r="BX15" s="43">
        <f t="shared" si="46"/>
        <v>0</v>
      </c>
      <c r="BY15" s="124">
        <f t="shared" si="47"/>
        <v>0</v>
      </c>
      <c r="BZ15" s="53"/>
      <c r="CA15" s="146" t="str">
        <f t="shared" si="114"/>
        <v/>
      </c>
      <c r="CB15" s="183">
        <v>0</v>
      </c>
      <c r="CC15" s="43">
        <f t="shared" si="100"/>
        <v>0</v>
      </c>
      <c r="CD15" s="123">
        <f t="shared" si="49"/>
        <v>0</v>
      </c>
      <c r="CE15" s="43">
        <f>IF($D15=0, 0, ROUND($CC15*VLOOKUP($D15, 'Finge and HI'!$C:$E, 2, FALSE), 0))</f>
        <v>0</v>
      </c>
      <c r="CF15" s="43">
        <f>IF($B15=0, 0, ROUND(VLOOKUP($D15&amp;$CG$2, 'Finge and HI'!$A:$E, 5, FALSE)/$C15*CB15,0))</f>
        <v>0</v>
      </c>
      <c r="CG15" s="43">
        <f t="shared" si="50"/>
        <v>0</v>
      </c>
      <c r="CH15" s="124">
        <f t="shared" si="51"/>
        <v>0</v>
      </c>
      <c r="CI15" s="53"/>
      <c r="CJ15" s="146" t="str">
        <f t="shared" si="115"/>
        <v/>
      </c>
      <c r="CK15" s="183">
        <v>0</v>
      </c>
      <c r="CL15" s="43">
        <f t="shared" si="101"/>
        <v>0</v>
      </c>
      <c r="CM15" s="123">
        <f t="shared" si="53"/>
        <v>0</v>
      </c>
      <c r="CN15" s="43">
        <f>IF($D15=0, 0, ROUND($CL15*VLOOKUP($D15, 'Finge and HI'!$C:$E, 2, FALSE), 0))</f>
        <v>0</v>
      </c>
      <c r="CO15" s="43">
        <f>IF($B15=0, 0, ROUND(VLOOKUP($D15&amp;$CP$2, 'Finge and HI'!$A:$E, 5, FALSE)/$C15*CK15,0))</f>
        <v>0</v>
      </c>
      <c r="CP15" s="43">
        <f t="shared" si="54"/>
        <v>0</v>
      </c>
      <c r="CQ15" s="124">
        <f t="shared" si="55"/>
        <v>0</v>
      </c>
      <c r="CR15" s="53"/>
      <c r="CS15" s="95">
        <f t="shared" si="16"/>
        <v>0</v>
      </c>
      <c r="CT15" s="95">
        <f t="shared" si="17"/>
        <v>0</v>
      </c>
      <c r="CU15" s="43" t="str">
        <f t="shared" si="80"/>
        <v xml:space="preserve">GRA 2 </v>
      </c>
    </row>
    <row r="16" spans="1:99" s="54" customFormat="1" ht="12.75" customHeight="1" outlineLevel="1" x14ac:dyDescent="0.2">
      <c r="A16" s="43">
        <f t="shared" ref="A16" si="130">IF(C16=0,0,ROUND(B16/C16*12,0))</f>
        <v>31200</v>
      </c>
      <c r="B16" s="184">
        <v>31200</v>
      </c>
      <c r="C16" s="187">
        <v>12</v>
      </c>
      <c r="D16" s="182" t="s">
        <v>17</v>
      </c>
      <c r="E16" s="188" t="s">
        <v>241</v>
      </c>
      <c r="F16" s="53"/>
      <c r="G16" s="182"/>
      <c r="H16" s="183">
        <v>0</v>
      </c>
      <c r="I16" s="43">
        <f t="shared" ref="I16" si="131">IF(H16=0,0,ROUND(($B16/$C16*H16),0))</f>
        <v>0</v>
      </c>
      <c r="J16" s="123">
        <f t="shared" ref="J16" si="132">IF(I16=0,0,M16/I16)</f>
        <v>0</v>
      </c>
      <c r="K16" s="43">
        <f>IF($D16=0, 0, ROUND($I16*VLOOKUP($D16, 'Finge and HI'!$C:$E, 2, FALSE), 0))</f>
        <v>0</v>
      </c>
      <c r="L16" s="43">
        <f>IF($B16=0, 0, ROUND(VLOOKUP($D16&amp;$M$2, 'Finge and HI'!$A:$E, 5, FALSE)/$C16*H16,0))</f>
        <v>0</v>
      </c>
      <c r="M16" s="43">
        <f t="shared" ref="M16" si="133">K16+L16</f>
        <v>0</v>
      </c>
      <c r="N16" s="124">
        <f t="shared" ref="N16" si="134">I16+M16</f>
        <v>0</v>
      </c>
      <c r="O16" s="53"/>
      <c r="P16" s="146" t="str">
        <f t="shared" si="103"/>
        <v/>
      </c>
      <c r="Q16" s="183">
        <v>0</v>
      </c>
      <c r="R16" s="43">
        <f t="shared" si="85"/>
        <v>0</v>
      </c>
      <c r="S16" s="123">
        <f t="shared" ref="S16" si="135">IF(R16=0,0,V16/R16)</f>
        <v>0</v>
      </c>
      <c r="T16" s="43">
        <f>IF($D16=0, 0, ROUND($R16*VLOOKUP($D16, 'Finge and HI'!$C:$E, 2, FALSE), 0))</f>
        <v>0</v>
      </c>
      <c r="U16" s="43">
        <f>IF($B16=0, 0, ROUND(VLOOKUP($D16&amp;$V$2, 'Finge and HI'!$A:$E, 5, FALSE)/$C16*Q16,0))</f>
        <v>0</v>
      </c>
      <c r="V16" s="161">
        <f t="shared" ref="V16" si="136">T16+U16</f>
        <v>0</v>
      </c>
      <c r="W16" s="124">
        <f t="shared" ref="W16" si="137">R16+V16</f>
        <v>0</v>
      </c>
      <c r="X16" s="53"/>
      <c r="Y16" s="146" t="str">
        <f t="shared" si="105"/>
        <v/>
      </c>
      <c r="Z16" s="183">
        <v>0</v>
      </c>
      <c r="AA16" s="43">
        <f t="shared" si="88"/>
        <v>0</v>
      </c>
      <c r="AB16" s="123">
        <f t="shared" ref="AB16" si="138">IF(AA16=0,0,AE16/AA16)</f>
        <v>0</v>
      </c>
      <c r="AC16" s="43">
        <f>IF($D16=0, 0, ROUND($AA16*VLOOKUP($D16, 'Finge and HI'!$C:$E, 2, FALSE), 0))</f>
        <v>0</v>
      </c>
      <c r="AD16" s="43">
        <f>IF($B16=0, 0, ROUND(VLOOKUP($D16&amp;$AE$2, 'Finge and HI'!$A:$E, 5, FALSE)/$C16*Z16,0))</f>
        <v>0</v>
      </c>
      <c r="AE16" s="43">
        <f t="shared" ref="AE16" si="139">AC16+AD16</f>
        <v>0</v>
      </c>
      <c r="AF16" s="124">
        <f t="shared" ref="AF16" si="140">AA16+AE16</f>
        <v>0</v>
      </c>
      <c r="AG16" s="53"/>
      <c r="AH16" s="146" t="str">
        <f t="shared" si="107"/>
        <v/>
      </c>
      <c r="AI16" s="183">
        <v>0</v>
      </c>
      <c r="AJ16" s="43">
        <f t="shared" si="91"/>
        <v>0</v>
      </c>
      <c r="AK16" s="123">
        <f t="shared" ref="AK16" si="141">IF(AJ16=0,0,AN16/AJ16)</f>
        <v>0</v>
      </c>
      <c r="AL16" s="43">
        <f>IF($D16=0, 0, ROUND($AJ16*VLOOKUP($D16, 'Finge and HI'!$C:$E, 2, FALSE), 0))</f>
        <v>0</v>
      </c>
      <c r="AM16" s="43">
        <f>IF($B16=0, 0, ROUND(VLOOKUP($D16&amp;AN$2, 'Finge and HI'!$A:$E, 5, FALSE)/$C16*AI16,0))</f>
        <v>0</v>
      </c>
      <c r="AN16" s="43">
        <f t="shared" ref="AN16" si="142">AL16+AM16</f>
        <v>0</v>
      </c>
      <c r="AO16" s="124">
        <f t="shared" ref="AO16" si="143">AJ16+AN16</f>
        <v>0</v>
      </c>
      <c r="AP16" s="53"/>
      <c r="AQ16" s="146" t="str">
        <f t="shared" si="109"/>
        <v/>
      </c>
      <c r="AR16" s="183">
        <v>0</v>
      </c>
      <c r="AS16" s="43">
        <f t="shared" si="94"/>
        <v>0</v>
      </c>
      <c r="AT16" s="123">
        <f t="shared" ref="AT16" si="144">IF(AS16=0,0,AW16/AS16)</f>
        <v>0</v>
      </c>
      <c r="AU16" s="43">
        <f>IF($D16=0, 0, ROUND($AS16*VLOOKUP($D16, 'Finge and HI'!$C:$E, 2, FALSE), 0))</f>
        <v>0</v>
      </c>
      <c r="AV16" s="43">
        <f>IF($B16=0, 0, ROUND(VLOOKUP($D16&amp;$AW$2, 'Finge and HI'!$A:$E, 5, FALSE)/$C16*AR16,0))</f>
        <v>0</v>
      </c>
      <c r="AW16" s="43">
        <f t="shared" ref="AW16" si="145">AU16+AV16</f>
        <v>0</v>
      </c>
      <c r="AX16" s="124">
        <f t="shared" ref="AX16" si="146">AS16+AW16</f>
        <v>0</v>
      </c>
      <c r="AY16" s="53"/>
      <c r="AZ16" s="146" t="str">
        <f t="shared" si="111"/>
        <v/>
      </c>
      <c r="BA16" s="183">
        <v>0</v>
      </c>
      <c r="BB16" s="43">
        <f t="shared" si="97"/>
        <v>0</v>
      </c>
      <c r="BC16" s="123">
        <f t="shared" si="37"/>
        <v>0</v>
      </c>
      <c r="BD16" s="43">
        <f>IF($D16=0, 0, ROUND($BB16*VLOOKUP($D16, 'Finge and HI'!$C:$E, 2, FALSE), 0))</f>
        <v>0</v>
      </c>
      <c r="BE16" s="43">
        <f>IF($B16=0, 0, ROUND(VLOOKUP($D16&amp;$BF$2, 'Finge and HI'!$A:$E, 5, FALSE)/$C16*BA16,0))</f>
        <v>0</v>
      </c>
      <c r="BF16" s="43">
        <f t="shared" si="38"/>
        <v>0</v>
      </c>
      <c r="BG16" s="124">
        <f t="shared" si="39"/>
        <v>0</v>
      </c>
      <c r="BH16" s="53"/>
      <c r="BI16" s="146" t="str">
        <f t="shared" si="112"/>
        <v/>
      </c>
      <c r="BJ16" s="183">
        <v>0</v>
      </c>
      <c r="BK16" s="43">
        <f t="shared" si="98"/>
        <v>0</v>
      </c>
      <c r="BL16" s="123">
        <f t="shared" si="41"/>
        <v>0</v>
      </c>
      <c r="BM16" s="43">
        <f>IF($D16=0, 0, ROUND($BK16*VLOOKUP($D16, 'Finge and HI'!$C:$E, 2, FALSE), 0))</f>
        <v>0</v>
      </c>
      <c r="BN16" s="43">
        <f>IF($B16=0, 0, ROUND(VLOOKUP($D16&amp;$BO$2, 'Finge and HI'!$A:$E, 5, FALSE)/$C16*BJ16,0))</f>
        <v>0</v>
      </c>
      <c r="BO16" s="43">
        <f t="shared" si="42"/>
        <v>0</v>
      </c>
      <c r="BP16" s="124">
        <f t="shared" si="43"/>
        <v>0</v>
      </c>
      <c r="BQ16" s="53"/>
      <c r="BR16" s="146" t="str">
        <f t="shared" si="113"/>
        <v/>
      </c>
      <c r="BS16" s="183">
        <v>0</v>
      </c>
      <c r="BT16" s="43">
        <f t="shared" si="99"/>
        <v>0</v>
      </c>
      <c r="BU16" s="123">
        <f t="shared" si="45"/>
        <v>0</v>
      </c>
      <c r="BV16" s="43">
        <f>IF($D16=0, 0, ROUND($BT16*VLOOKUP($D16, 'Finge and HI'!$C:$E, 2, FALSE), 0))</f>
        <v>0</v>
      </c>
      <c r="BW16" s="43">
        <f>IF($B16=0, 0, ROUND(VLOOKUP($D16&amp;$BX$2, 'Finge and HI'!$A:$E, 5, FALSE)/$C16*BS16,0))</f>
        <v>0</v>
      </c>
      <c r="BX16" s="43">
        <f t="shared" si="46"/>
        <v>0</v>
      </c>
      <c r="BY16" s="124">
        <f t="shared" si="47"/>
        <v>0</v>
      </c>
      <c r="BZ16" s="53"/>
      <c r="CA16" s="146" t="str">
        <f t="shared" si="114"/>
        <v/>
      </c>
      <c r="CB16" s="183">
        <v>0</v>
      </c>
      <c r="CC16" s="43">
        <f t="shared" si="100"/>
        <v>0</v>
      </c>
      <c r="CD16" s="123">
        <f t="shared" si="49"/>
        <v>0</v>
      </c>
      <c r="CE16" s="43">
        <f>IF($D16=0, 0, ROUND($CC16*VLOOKUP($D16, 'Finge and HI'!$C:$E, 2, FALSE), 0))</f>
        <v>0</v>
      </c>
      <c r="CF16" s="43">
        <f>IF($B16=0, 0, ROUND(VLOOKUP($D16&amp;$CG$2, 'Finge and HI'!$A:$E, 5, FALSE)/$C16*CB16,0))</f>
        <v>0</v>
      </c>
      <c r="CG16" s="43">
        <f t="shared" si="50"/>
        <v>0</v>
      </c>
      <c r="CH16" s="124">
        <f t="shared" si="51"/>
        <v>0</v>
      </c>
      <c r="CI16" s="53"/>
      <c r="CJ16" s="146" t="str">
        <f t="shared" si="115"/>
        <v/>
      </c>
      <c r="CK16" s="183">
        <v>0</v>
      </c>
      <c r="CL16" s="43">
        <f t="shared" si="101"/>
        <v>0</v>
      </c>
      <c r="CM16" s="123">
        <f t="shared" si="53"/>
        <v>0</v>
      </c>
      <c r="CN16" s="43">
        <f>IF($D16=0, 0, ROUND($CL16*VLOOKUP($D16, 'Finge and HI'!$C:$E, 2, FALSE), 0))</f>
        <v>0</v>
      </c>
      <c r="CO16" s="43">
        <f>IF($B16=0, 0, ROUND(VLOOKUP($D16&amp;$CP$2, 'Finge and HI'!$A:$E, 5, FALSE)/$C16*CK16,0))</f>
        <v>0</v>
      </c>
      <c r="CP16" s="43">
        <f t="shared" si="54"/>
        <v>0</v>
      </c>
      <c r="CQ16" s="124">
        <f t="shared" si="55"/>
        <v>0</v>
      </c>
      <c r="CR16" s="53"/>
      <c r="CS16" s="95">
        <f t="shared" si="16"/>
        <v>0</v>
      </c>
      <c r="CT16" s="95">
        <f t="shared" si="17"/>
        <v>0</v>
      </c>
      <c r="CU16" s="43" t="str">
        <f t="shared" ref="CU16" si="147">E16&amp;" "&amp;G16&amp;""</f>
        <v xml:space="preserve">UG 1 </v>
      </c>
    </row>
    <row r="17" spans="1:99" s="54" customFormat="1" ht="12.75" customHeight="1" outlineLevel="1" x14ac:dyDescent="0.2">
      <c r="A17" s="43">
        <f t="shared" si="81"/>
        <v>31200</v>
      </c>
      <c r="B17" s="192">
        <v>31200</v>
      </c>
      <c r="C17" s="193">
        <v>12</v>
      </c>
      <c r="D17" s="189" t="s">
        <v>17</v>
      </c>
      <c r="E17" s="194" t="s">
        <v>242</v>
      </c>
      <c r="F17" s="53"/>
      <c r="G17" s="182"/>
      <c r="H17" s="183">
        <v>0</v>
      </c>
      <c r="I17" s="43">
        <f t="shared" si="129"/>
        <v>0</v>
      </c>
      <c r="J17" s="123">
        <f t="shared" si="102"/>
        <v>0</v>
      </c>
      <c r="K17" s="43">
        <f>IF($D17=0, 0, ROUND($I17*VLOOKUP($D17, 'Finge and HI'!$C:$E, 2, FALSE), 0))</f>
        <v>0</v>
      </c>
      <c r="L17" s="43">
        <f>IF($B17=0, 0, ROUND(VLOOKUP($D17&amp;$M$2, 'Finge and HI'!$A:$E, 5, FALSE)/$C17*H17,0))</f>
        <v>0</v>
      </c>
      <c r="M17" s="43">
        <f t="shared" si="83"/>
        <v>0</v>
      </c>
      <c r="N17" s="124">
        <f t="shared" si="84"/>
        <v>0</v>
      </c>
      <c r="O17" s="53"/>
      <c r="P17" s="146" t="str">
        <f t="shared" si="103"/>
        <v/>
      </c>
      <c r="Q17" s="183">
        <v>0</v>
      </c>
      <c r="R17" s="43">
        <f t="shared" si="85"/>
        <v>0</v>
      </c>
      <c r="S17" s="123">
        <f t="shared" si="104"/>
        <v>0</v>
      </c>
      <c r="T17" s="43">
        <f>IF($D17=0, 0, ROUND($R17*VLOOKUP($D17, 'Finge and HI'!$C:$E, 2, FALSE), 0))</f>
        <v>0</v>
      </c>
      <c r="U17" s="43">
        <f>IF($B17=0, 0, ROUND(VLOOKUP($D17&amp;$V$2, 'Finge and HI'!$A:$E, 5, FALSE)/$C17*Q17,0))</f>
        <v>0</v>
      </c>
      <c r="V17" s="304">
        <f t="shared" si="86"/>
        <v>0</v>
      </c>
      <c r="W17" s="124">
        <f t="shared" si="87"/>
        <v>0</v>
      </c>
      <c r="X17" s="53"/>
      <c r="Y17" s="146" t="str">
        <f t="shared" si="105"/>
        <v/>
      </c>
      <c r="Z17" s="183">
        <v>0</v>
      </c>
      <c r="AA17" s="43">
        <f t="shared" si="88"/>
        <v>0</v>
      </c>
      <c r="AB17" s="123">
        <f t="shared" si="106"/>
        <v>0</v>
      </c>
      <c r="AC17" s="43">
        <f>IF($D17=0, 0, ROUND($AA17*VLOOKUP($D17, 'Finge and HI'!$C:$E, 2, FALSE), 0))</f>
        <v>0</v>
      </c>
      <c r="AD17" s="43">
        <f>IF($B17=0, 0, ROUND(VLOOKUP($D17&amp;$AE$2, 'Finge and HI'!$A:$E, 5, FALSE)/$C17*Z17,0))</f>
        <v>0</v>
      </c>
      <c r="AE17" s="43">
        <f t="shared" si="89"/>
        <v>0</v>
      </c>
      <c r="AF17" s="124">
        <f t="shared" si="90"/>
        <v>0</v>
      </c>
      <c r="AG17" s="53"/>
      <c r="AH17" s="146" t="str">
        <f t="shared" si="107"/>
        <v/>
      </c>
      <c r="AI17" s="183">
        <v>0</v>
      </c>
      <c r="AJ17" s="43">
        <f t="shared" si="91"/>
        <v>0</v>
      </c>
      <c r="AK17" s="123">
        <f t="shared" si="108"/>
        <v>0</v>
      </c>
      <c r="AL17" s="43">
        <f>IF($D17=0, 0, ROUND($AJ17*VLOOKUP($D17, 'Finge and HI'!$C:$E, 2, FALSE), 0))</f>
        <v>0</v>
      </c>
      <c r="AM17" s="43">
        <f>IF($B17=0, 0, ROUND(VLOOKUP($D17&amp;AN$2, 'Finge and HI'!$A:$E, 5, FALSE)/$C17*AI17,0))</f>
        <v>0</v>
      </c>
      <c r="AN17" s="43">
        <f t="shared" si="92"/>
        <v>0</v>
      </c>
      <c r="AO17" s="124">
        <f t="shared" si="93"/>
        <v>0</v>
      </c>
      <c r="AP17" s="53"/>
      <c r="AQ17" s="146" t="str">
        <f t="shared" si="109"/>
        <v/>
      </c>
      <c r="AR17" s="183">
        <v>0</v>
      </c>
      <c r="AS17" s="43">
        <f t="shared" si="94"/>
        <v>0</v>
      </c>
      <c r="AT17" s="123">
        <f t="shared" si="110"/>
        <v>0</v>
      </c>
      <c r="AU17" s="43">
        <f>IF($D17=0, 0, ROUND($AS17*VLOOKUP($D17, 'Finge and HI'!$C:$E, 2, FALSE), 0))</f>
        <v>0</v>
      </c>
      <c r="AV17" s="43">
        <f>IF($B17=0, 0, ROUND(VLOOKUP($D17&amp;$AW$2, 'Finge and HI'!$A:$E, 5, FALSE)/$C17*AR17,0))</f>
        <v>0</v>
      </c>
      <c r="AW17" s="43">
        <f t="shared" si="95"/>
        <v>0</v>
      </c>
      <c r="AX17" s="124">
        <f t="shared" si="96"/>
        <v>0</v>
      </c>
      <c r="AY17" s="53"/>
      <c r="AZ17" s="146" t="str">
        <f t="shared" si="111"/>
        <v/>
      </c>
      <c r="BA17" s="183">
        <v>0</v>
      </c>
      <c r="BB17" s="43">
        <f t="shared" si="97"/>
        <v>0</v>
      </c>
      <c r="BC17" s="123">
        <f t="shared" si="37"/>
        <v>0</v>
      </c>
      <c r="BD17" s="43">
        <f>IF($D17=0, 0, ROUND($BB17*VLOOKUP($D17, 'Finge and HI'!$C:$E, 2, FALSE), 0))</f>
        <v>0</v>
      </c>
      <c r="BE17" s="43">
        <f>IF($B17=0, 0, ROUND(VLOOKUP($D17&amp;$BF$2, 'Finge and HI'!$A:$E, 5, FALSE)/$C17*BA17,0))</f>
        <v>0</v>
      </c>
      <c r="BF17" s="43">
        <f t="shared" si="38"/>
        <v>0</v>
      </c>
      <c r="BG17" s="124">
        <f t="shared" si="39"/>
        <v>0</v>
      </c>
      <c r="BH17" s="53"/>
      <c r="BI17" s="146" t="str">
        <f t="shared" si="112"/>
        <v/>
      </c>
      <c r="BJ17" s="183">
        <v>0</v>
      </c>
      <c r="BK17" s="43">
        <f t="shared" si="98"/>
        <v>0</v>
      </c>
      <c r="BL17" s="123">
        <f t="shared" si="41"/>
        <v>0</v>
      </c>
      <c r="BM17" s="43">
        <f>IF($D17=0, 0, ROUND($BK17*VLOOKUP($D17, 'Finge and HI'!$C:$E, 2, FALSE), 0))</f>
        <v>0</v>
      </c>
      <c r="BN17" s="43">
        <f>IF($B17=0, 0, ROUND(VLOOKUP($D17&amp;$BO$2, 'Finge and HI'!$A:$E, 5, FALSE)/$C17*BJ17,0))</f>
        <v>0</v>
      </c>
      <c r="BO17" s="43">
        <f t="shared" si="42"/>
        <v>0</v>
      </c>
      <c r="BP17" s="124">
        <f t="shared" si="43"/>
        <v>0</v>
      </c>
      <c r="BQ17" s="53"/>
      <c r="BR17" s="146" t="str">
        <f t="shared" si="113"/>
        <v/>
      </c>
      <c r="BS17" s="183">
        <v>0</v>
      </c>
      <c r="BT17" s="43">
        <f t="shared" si="99"/>
        <v>0</v>
      </c>
      <c r="BU17" s="123">
        <f t="shared" si="45"/>
        <v>0</v>
      </c>
      <c r="BV17" s="43">
        <f>IF($D17=0, 0, ROUND($BT17*VLOOKUP($D17, 'Finge and HI'!$C:$E, 2, FALSE), 0))</f>
        <v>0</v>
      </c>
      <c r="BW17" s="43">
        <f>IF($B17=0, 0, ROUND(VLOOKUP($D17&amp;$BX$2, 'Finge and HI'!$A:$E, 5, FALSE)/$C17*BS17,0))</f>
        <v>0</v>
      </c>
      <c r="BX17" s="43">
        <f t="shared" si="46"/>
        <v>0</v>
      </c>
      <c r="BY17" s="124">
        <f t="shared" si="47"/>
        <v>0</v>
      </c>
      <c r="BZ17" s="53"/>
      <c r="CA17" s="146" t="str">
        <f t="shared" si="114"/>
        <v/>
      </c>
      <c r="CB17" s="183">
        <v>0</v>
      </c>
      <c r="CC17" s="43">
        <f t="shared" si="100"/>
        <v>0</v>
      </c>
      <c r="CD17" s="123">
        <f t="shared" si="49"/>
        <v>0</v>
      </c>
      <c r="CE17" s="43">
        <f>IF($D17=0, 0, ROUND($CC17*VLOOKUP($D17, 'Finge and HI'!$C:$E, 2, FALSE), 0))</f>
        <v>0</v>
      </c>
      <c r="CF17" s="43">
        <f>IF($B17=0, 0, ROUND(VLOOKUP($D17&amp;$CG$2, 'Finge and HI'!$A:$E, 5, FALSE)/$C17*CB17,0))</f>
        <v>0</v>
      </c>
      <c r="CG17" s="43">
        <f t="shared" si="50"/>
        <v>0</v>
      </c>
      <c r="CH17" s="124">
        <f t="shared" si="51"/>
        <v>0</v>
      </c>
      <c r="CI17" s="53"/>
      <c r="CJ17" s="146" t="str">
        <f t="shared" si="115"/>
        <v/>
      </c>
      <c r="CK17" s="183">
        <v>0</v>
      </c>
      <c r="CL17" s="43">
        <f t="shared" si="101"/>
        <v>0</v>
      </c>
      <c r="CM17" s="123">
        <f t="shared" si="53"/>
        <v>0</v>
      </c>
      <c r="CN17" s="43">
        <f>IF($D17=0, 0, ROUND($CL17*VLOOKUP($D17, 'Finge and HI'!$C:$E, 2, FALSE), 0))</f>
        <v>0</v>
      </c>
      <c r="CO17" s="43">
        <f>IF($B17=0, 0, ROUND(VLOOKUP($D17&amp;$CP$2, 'Finge and HI'!$A:$E, 5, FALSE)/$C17*CK17,0))</f>
        <v>0</v>
      </c>
      <c r="CP17" s="43">
        <f t="shared" si="54"/>
        <v>0</v>
      </c>
      <c r="CQ17" s="124">
        <f t="shared" si="55"/>
        <v>0</v>
      </c>
      <c r="CR17" s="53"/>
      <c r="CS17" s="95">
        <f t="shared" si="16"/>
        <v>0</v>
      </c>
      <c r="CT17" s="95">
        <f t="shared" si="17"/>
        <v>0</v>
      </c>
      <c r="CU17" s="43" t="str">
        <f t="shared" si="80"/>
        <v xml:space="preserve">UG 2 </v>
      </c>
    </row>
    <row r="18" spans="1:99" s="40" customFormat="1" ht="12.75" customHeight="1" outlineLevel="1" x14ac:dyDescent="0.25">
      <c r="A18" s="72"/>
      <c r="B18" s="313" t="s">
        <v>49</v>
      </c>
      <c r="C18" s="314"/>
      <c r="D18" s="315"/>
      <c r="E18" s="145"/>
      <c r="F18" s="53"/>
      <c r="G18" s="127"/>
      <c r="H18" s="128"/>
      <c r="J18" s="96"/>
      <c r="K18" s="129"/>
      <c r="L18" s="129"/>
      <c r="N18" s="130"/>
      <c r="O18" s="52"/>
      <c r="P18" s="127"/>
      <c r="Q18" s="128"/>
      <c r="R18" s="96"/>
      <c r="S18" s="96"/>
      <c r="T18" s="129"/>
      <c r="U18" s="129"/>
      <c r="W18" s="130"/>
      <c r="X18" s="52"/>
      <c r="Y18" s="127"/>
      <c r="Z18" s="128"/>
      <c r="AA18" s="96"/>
      <c r="AB18" s="96"/>
      <c r="AC18" s="129"/>
      <c r="AD18" s="129"/>
      <c r="AF18" s="130"/>
      <c r="AG18" s="52"/>
      <c r="AH18" s="127"/>
      <c r="AI18" s="128"/>
      <c r="AJ18" s="96"/>
      <c r="AK18" s="96"/>
      <c r="AL18" s="129"/>
      <c r="AM18" s="129"/>
      <c r="AO18" s="130"/>
      <c r="AP18" s="52"/>
      <c r="AQ18" s="127"/>
      <c r="AR18" s="128"/>
      <c r="AS18" s="96"/>
      <c r="AT18" s="96"/>
      <c r="AU18" s="129"/>
      <c r="AV18" s="129"/>
      <c r="AX18" s="130"/>
      <c r="AY18" s="52"/>
      <c r="AZ18" s="127"/>
      <c r="BA18" s="128"/>
      <c r="BB18" s="96"/>
      <c r="BC18" s="96"/>
      <c r="BD18" s="129"/>
      <c r="BE18" s="129"/>
      <c r="BG18" s="130"/>
      <c r="BH18" s="52"/>
      <c r="BI18" s="127"/>
      <c r="BJ18" s="128"/>
      <c r="BK18" s="96"/>
      <c r="BL18" s="96"/>
      <c r="BM18" s="129"/>
      <c r="BN18" s="129"/>
      <c r="BP18" s="130"/>
      <c r="BQ18" s="52"/>
      <c r="BR18" s="127"/>
      <c r="BS18" s="128"/>
      <c r="BT18" s="96"/>
      <c r="BU18" s="96"/>
      <c r="BV18" s="129"/>
      <c r="BW18" s="129"/>
      <c r="BY18" s="130"/>
      <c r="BZ18" s="52"/>
      <c r="CA18" s="127"/>
      <c r="CB18" s="128"/>
      <c r="CC18" s="96"/>
      <c r="CD18" s="96"/>
      <c r="CE18" s="129"/>
      <c r="CF18" s="129"/>
      <c r="CH18" s="130"/>
      <c r="CI18" s="52"/>
      <c r="CJ18" s="127"/>
      <c r="CK18" s="128"/>
      <c r="CL18" s="96"/>
      <c r="CM18" s="96"/>
      <c r="CN18" s="129"/>
      <c r="CO18" s="129"/>
      <c r="CQ18" s="130"/>
      <c r="CR18" s="52"/>
      <c r="CS18" s="305"/>
      <c r="CT18" s="305"/>
      <c r="CU18" s="95"/>
    </row>
    <row r="19" spans="1:99" s="40" customFormat="1" ht="12.75" customHeight="1" outlineLevel="1" x14ac:dyDescent="0.25">
      <c r="A19" s="73">
        <f>lists!H3</f>
        <v>225700</v>
      </c>
      <c r="B19" s="112" t="s">
        <v>43</v>
      </c>
      <c r="C19" s="112" t="s">
        <v>51</v>
      </c>
      <c r="D19" s="112" t="s">
        <v>289</v>
      </c>
      <c r="E19" s="38"/>
      <c r="F19" s="53"/>
      <c r="G19" s="316" t="s">
        <v>50</v>
      </c>
      <c r="H19" s="317"/>
      <c r="I19" s="196">
        <f>I4+I10</f>
        <v>0</v>
      </c>
      <c r="J19" s="100"/>
      <c r="K19" s="100"/>
      <c r="L19" s="100"/>
      <c r="M19" s="196">
        <f>M4+M10</f>
        <v>0</v>
      </c>
      <c r="N19" s="197">
        <f>N4+N10</f>
        <v>0</v>
      </c>
      <c r="O19" s="52"/>
      <c r="P19" s="316" t="s">
        <v>50</v>
      </c>
      <c r="Q19" s="317"/>
      <c r="R19" s="196">
        <f>R4+R10</f>
        <v>0</v>
      </c>
      <c r="S19" s="100"/>
      <c r="T19" s="100"/>
      <c r="U19" s="100"/>
      <c r="V19" s="196">
        <f>V4+V10</f>
        <v>0</v>
      </c>
      <c r="W19" s="197">
        <f>W4+W10</f>
        <v>0</v>
      </c>
      <c r="X19" s="52"/>
      <c r="Y19" s="316" t="s">
        <v>50</v>
      </c>
      <c r="Z19" s="317"/>
      <c r="AA19" s="196">
        <f>AA4+AA10</f>
        <v>0</v>
      </c>
      <c r="AB19" s="100"/>
      <c r="AC19" s="100"/>
      <c r="AD19" s="100"/>
      <c r="AE19" s="196">
        <f>AE4+AE10</f>
        <v>0</v>
      </c>
      <c r="AF19" s="197">
        <f>AF4+AF10</f>
        <v>0</v>
      </c>
      <c r="AG19" s="52"/>
      <c r="AH19" s="316" t="s">
        <v>50</v>
      </c>
      <c r="AI19" s="317"/>
      <c r="AJ19" s="196">
        <f>AJ4+AJ10</f>
        <v>0</v>
      </c>
      <c r="AK19" s="100"/>
      <c r="AL19" s="100"/>
      <c r="AM19" s="100"/>
      <c r="AN19" s="196">
        <f>AN4+AN10</f>
        <v>0</v>
      </c>
      <c r="AO19" s="197">
        <f>AO4+AO10</f>
        <v>0</v>
      </c>
      <c r="AP19" s="52"/>
      <c r="AQ19" s="316" t="s">
        <v>50</v>
      </c>
      <c r="AR19" s="317"/>
      <c r="AS19" s="196">
        <f>AS4+AS10</f>
        <v>0</v>
      </c>
      <c r="AT19" s="100"/>
      <c r="AU19" s="100"/>
      <c r="AV19" s="100"/>
      <c r="AW19" s="196">
        <f>AW4+AW10</f>
        <v>0</v>
      </c>
      <c r="AX19" s="197">
        <f>AX4+AX10</f>
        <v>0</v>
      </c>
      <c r="AY19" s="52"/>
      <c r="AZ19" s="316" t="s">
        <v>50</v>
      </c>
      <c r="BA19" s="317"/>
      <c r="BB19" s="196">
        <f>BB4+BB10</f>
        <v>0</v>
      </c>
      <c r="BC19" s="100"/>
      <c r="BD19" s="100"/>
      <c r="BE19" s="100"/>
      <c r="BF19" s="196">
        <f>BF4+BF10</f>
        <v>0</v>
      </c>
      <c r="BG19" s="197">
        <f>BG4+BG10</f>
        <v>0</v>
      </c>
      <c r="BH19" s="52"/>
      <c r="BI19" s="316" t="s">
        <v>50</v>
      </c>
      <c r="BJ19" s="317"/>
      <c r="BK19" s="196">
        <f>BK4+BK10</f>
        <v>0</v>
      </c>
      <c r="BL19" s="100"/>
      <c r="BM19" s="100"/>
      <c r="BN19" s="100"/>
      <c r="BO19" s="196">
        <f>BO4+BO10</f>
        <v>0</v>
      </c>
      <c r="BP19" s="197">
        <f>BP4+BP10</f>
        <v>0</v>
      </c>
      <c r="BQ19" s="52"/>
      <c r="BR19" s="316" t="s">
        <v>50</v>
      </c>
      <c r="BS19" s="317"/>
      <c r="BT19" s="196">
        <f>BT4+BT10</f>
        <v>0</v>
      </c>
      <c r="BU19" s="100"/>
      <c r="BV19" s="100"/>
      <c r="BW19" s="100"/>
      <c r="BX19" s="196">
        <f>BX4+BX10</f>
        <v>0</v>
      </c>
      <c r="BY19" s="197">
        <f>BY4+BY10</f>
        <v>0</v>
      </c>
      <c r="BZ19" s="52"/>
      <c r="CA19" s="316" t="s">
        <v>50</v>
      </c>
      <c r="CB19" s="317"/>
      <c r="CC19" s="196">
        <f>CC4+CC10</f>
        <v>0</v>
      </c>
      <c r="CD19" s="100"/>
      <c r="CE19" s="100"/>
      <c r="CF19" s="100"/>
      <c r="CG19" s="196">
        <f>CG4+CG10</f>
        <v>0</v>
      </c>
      <c r="CH19" s="197">
        <f>CH4+CH10</f>
        <v>0</v>
      </c>
      <c r="CI19" s="52"/>
      <c r="CJ19" s="316" t="s">
        <v>50</v>
      </c>
      <c r="CK19" s="317"/>
      <c r="CL19" s="196">
        <f>CL4+CL10</f>
        <v>0</v>
      </c>
      <c r="CM19" s="100"/>
      <c r="CN19" s="100"/>
      <c r="CO19" s="100"/>
      <c r="CP19" s="196">
        <f>CP4+CP10</f>
        <v>0</v>
      </c>
      <c r="CQ19" s="197">
        <f>CQ4+CQ10</f>
        <v>0</v>
      </c>
      <c r="CR19" s="52"/>
      <c r="CS19" s="306">
        <f t="shared" si="16"/>
        <v>0</v>
      </c>
      <c r="CT19" s="306">
        <f t="shared" si="17"/>
        <v>0</v>
      </c>
      <c r="CU19" s="227" t="str">
        <f>G19</f>
        <v>Salaries &amp; Fringe</v>
      </c>
    </row>
    <row r="20" spans="1:99" s="40" customFormat="1" ht="12.75" customHeight="1" outlineLevel="1" x14ac:dyDescent="0.25">
      <c r="A20" s="229"/>
      <c r="B20" s="206">
        <v>1.05</v>
      </c>
      <c r="C20" s="206">
        <v>1.1000000000000001</v>
      </c>
      <c r="D20" s="206">
        <v>1.05</v>
      </c>
      <c r="E20" s="38"/>
      <c r="F20" s="53"/>
      <c r="G20" s="230"/>
      <c r="H20" s="38"/>
      <c r="I20" s="231"/>
      <c r="J20" s="98"/>
      <c r="K20" s="98"/>
      <c r="L20" s="98"/>
      <c r="M20" s="231"/>
      <c r="N20" s="232"/>
      <c r="O20" s="52"/>
      <c r="P20" s="230"/>
      <c r="Q20" s="38"/>
      <c r="R20" s="231"/>
      <c r="S20" s="98"/>
      <c r="T20" s="98"/>
      <c r="U20" s="98"/>
      <c r="V20" s="231"/>
      <c r="W20" s="232"/>
      <c r="X20" s="52"/>
      <c r="Y20" s="230"/>
      <c r="Z20" s="38"/>
      <c r="AA20" s="231"/>
      <c r="AB20" s="98"/>
      <c r="AC20" s="98"/>
      <c r="AD20" s="98"/>
      <c r="AE20" s="231"/>
      <c r="AF20" s="232"/>
      <c r="AG20" s="52"/>
      <c r="AH20" s="230"/>
      <c r="AI20" s="38"/>
      <c r="AJ20" s="231"/>
      <c r="AK20" s="98"/>
      <c r="AL20" s="98"/>
      <c r="AM20" s="98"/>
      <c r="AN20" s="231"/>
      <c r="AO20" s="232"/>
      <c r="AP20" s="52"/>
      <c r="AQ20" s="230"/>
      <c r="AR20" s="38"/>
      <c r="AS20" s="231"/>
      <c r="AT20" s="98"/>
      <c r="AU20" s="98"/>
      <c r="AV20" s="98"/>
      <c r="AW20" s="231"/>
      <c r="AX20" s="232"/>
      <c r="AY20" s="52"/>
      <c r="AZ20" s="230"/>
      <c r="BA20" s="38"/>
      <c r="BB20" s="231"/>
      <c r="BC20" s="98"/>
      <c r="BD20" s="98"/>
      <c r="BE20" s="98"/>
      <c r="BF20" s="231"/>
      <c r="BG20" s="232"/>
      <c r="BH20" s="52"/>
      <c r="BI20" s="230"/>
      <c r="BJ20" s="38"/>
      <c r="BK20" s="231"/>
      <c r="BL20" s="98"/>
      <c r="BM20" s="98"/>
      <c r="BN20" s="98"/>
      <c r="BO20" s="231"/>
      <c r="BP20" s="232"/>
      <c r="BQ20" s="52"/>
      <c r="BR20" s="230"/>
      <c r="BS20" s="38"/>
      <c r="BT20" s="231"/>
      <c r="BU20" s="98"/>
      <c r="BV20" s="98"/>
      <c r="BW20" s="98"/>
      <c r="BX20" s="231"/>
      <c r="BY20" s="232"/>
      <c r="BZ20" s="52"/>
      <c r="CA20" s="230"/>
      <c r="CB20" s="38"/>
      <c r="CC20" s="231"/>
      <c r="CD20" s="98"/>
      <c r="CE20" s="98"/>
      <c r="CF20" s="98"/>
      <c r="CG20" s="231"/>
      <c r="CH20" s="232"/>
      <c r="CI20" s="52"/>
      <c r="CJ20" s="230"/>
      <c r="CK20" s="38"/>
      <c r="CL20" s="231"/>
      <c r="CM20" s="98"/>
      <c r="CN20" s="98"/>
      <c r="CO20" s="98"/>
      <c r="CP20" s="231"/>
      <c r="CQ20" s="232"/>
      <c r="CR20" s="52"/>
      <c r="CS20" s="233"/>
      <c r="CT20" s="233"/>
      <c r="CU20" s="233"/>
    </row>
    <row r="21" spans="1:99" s="40" customFormat="1" ht="12.75" customHeight="1" x14ac:dyDescent="0.2">
      <c r="A21" s="74" t="s">
        <v>99</v>
      </c>
      <c r="F21" s="53"/>
      <c r="G21" s="133"/>
      <c r="J21" s="100"/>
      <c r="K21" s="100"/>
      <c r="L21" s="100"/>
      <c r="N21" s="134"/>
      <c r="O21" s="52"/>
      <c r="P21" s="133"/>
      <c r="S21" s="100"/>
      <c r="T21" s="100"/>
      <c r="U21" s="100"/>
      <c r="W21" s="134"/>
      <c r="X21" s="52"/>
      <c r="Y21" s="133"/>
      <c r="AB21" s="100"/>
      <c r="AC21" s="100"/>
      <c r="AD21" s="100"/>
      <c r="AF21" s="134"/>
      <c r="AG21" s="52"/>
      <c r="AH21" s="133"/>
      <c r="AK21" s="100"/>
      <c r="AL21" s="100"/>
      <c r="AM21" s="100"/>
      <c r="AO21" s="134"/>
      <c r="AP21" s="52"/>
      <c r="AQ21" s="133"/>
      <c r="AT21" s="100"/>
      <c r="AU21" s="100"/>
      <c r="AV21" s="100"/>
      <c r="AX21" s="134"/>
      <c r="AY21" s="52"/>
      <c r="AZ21" s="133"/>
      <c r="BC21" s="100"/>
      <c r="BD21" s="100"/>
      <c r="BE21" s="100"/>
      <c r="BG21" s="134"/>
      <c r="BH21" s="52"/>
      <c r="BI21" s="133"/>
      <c r="BL21" s="100"/>
      <c r="BM21" s="100"/>
      <c r="BN21" s="100"/>
      <c r="BP21" s="134"/>
      <c r="BQ21" s="52"/>
      <c r="BR21" s="133"/>
      <c r="BU21" s="100"/>
      <c r="BV21" s="100"/>
      <c r="BW21" s="100"/>
      <c r="BY21" s="134"/>
      <c r="BZ21" s="52"/>
      <c r="CA21" s="133"/>
      <c r="CD21" s="100"/>
      <c r="CE21" s="100"/>
      <c r="CF21" s="100"/>
      <c r="CH21" s="134"/>
      <c r="CI21" s="52"/>
      <c r="CJ21" s="133"/>
      <c r="CM21" s="100"/>
      <c r="CN21" s="100"/>
      <c r="CO21" s="100"/>
      <c r="CQ21" s="134"/>
      <c r="CR21" s="52"/>
    </row>
    <row r="22" spans="1:99" s="40" customFormat="1" ht="12.75" customHeight="1" outlineLevel="1" x14ac:dyDescent="0.25">
      <c r="A22" s="73">
        <f>A19/12*9</f>
        <v>169275</v>
      </c>
      <c r="B22" s="113"/>
      <c r="E22" s="114"/>
      <c r="F22" s="52"/>
      <c r="G22" s="316" t="s">
        <v>52</v>
      </c>
      <c r="H22" s="317"/>
      <c r="J22" s="100"/>
      <c r="K22" s="135"/>
      <c r="L22" s="135"/>
      <c r="M22" s="136"/>
      <c r="N22" s="197">
        <f>ROUND(SUM(M23:M24),0)</f>
        <v>0</v>
      </c>
      <c r="O22" s="52"/>
      <c r="P22" s="316" t="s">
        <v>52</v>
      </c>
      <c r="Q22" s="317"/>
      <c r="S22" s="100"/>
      <c r="T22" s="135"/>
      <c r="U22" s="135"/>
      <c r="V22" s="136"/>
      <c r="W22" s="197">
        <f>ROUND(SUM(V23:V24),0)</f>
        <v>0</v>
      </c>
      <c r="X22" s="52"/>
      <c r="Y22" s="316" t="s">
        <v>52</v>
      </c>
      <c r="Z22" s="317"/>
      <c r="AB22" s="100"/>
      <c r="AC22" s="135"/>
      <c r="AD22" s="135"/>
      <c r="AE22" s="136"/>
      <c r="AF22" s="197">
        <f>ROUND(SUM(AE23:AE24),0)</f>
        <v>0</v>
      </c>
      <c r="AG22" s="52"/>
      <c r="AH22" s="316" t="s">
        <v>52</v>
      </c>
      <c r="AI22" s="317"/>
      <c r="AK22" s="100"/>
      <c r="AL22" s="135"/>
      <c r="AM22" s="135"/>
      <c r="AN22" s="136"/>
      <c r="AO22" s="197">
        <f>ROUND(SUM(AN23:AN24),0)</f>
        <v>0</v>
      </c>
      <c r="AP22" s="52"/>
      <c r="AQ22" s="316" t="s">
        <v>52</v>
      </c>
      <c r="AR22" s="317"/>
      <c r="AT22" s="100"/>
      <c r="AU22" s="135"/>
      <c r="AV22" s="135"/>
      <c r="AW22" s="136"/>
      <c r="AX22" s="197">
        <f>ROUND(SUM(AW23:AW24),0)</f>
        <v>0</v>
      </c>
      <c r="AY22" s="52"/>
      <c r="AZ22" s="316" t="s">
        <v>52</v>
      </c>
      <c r="BA22" s="317"/>
      <c r="BC22" s="100"/>
      <c r="BD22" s="135"/>
      <c r="BE22" s="135"/>
      <c r="BF22" s="136"/>
      <c r="BG22" s="197">
        <f>ROUND(SUM(BF23:BF24),0)</f>
        <v>0</v>
      </c>
      <c r="BH22" s="52"/>
      <c r="BI22" s="316" t="s">
        <v>52</v>
      </c>
      <c r="BJ22" s="317"/>
      <c r="BL22" s="100"/>
      <c r="BM22" s="135"/>
      <c r="BN22" s="135"/>
      <c r="BO22" s="136"/>
      <c r="BP22" s="197">
        <f>ROUND(SUM(BO23:BO24),0)</f>
        <v>0</v>
      </c>
      <c r="BQ22" s="52"/>
      <c r="BR22" s="316" t="s">
        <v>52</v>
      </c>
      <c r="BS22" s="317"/>
      <c r="BU22" s="100"/>
      <c r="BV22" s="135"/>
      <c r="BW22" s="135"/>
      <c r="BX22" s="136"/>
      <c r="BY22" s="197">
        <f>ROUND(SUM(BX23:BX24),0)</f>
        <v>0</v>
      </c>
      <c r="BZ22" s="52"/>
      <c r="CA22" s="316" t="s">
        <v>52</v>
      </c>
      <c r="CB22" s="317"/>
      <c r="CD22" s="100"/>
      <c r="CE22" s="135"/>
      <c r="CF22" s="135"/>
      <c r="CG22" s="136"/>
      <c r="CH22" s="197">
        <f>ROUND(SUM(CG23:CG24),0)</f>
        <v>0</v>
      </c>
      <c r="CI22" s="52"/>
      <c r="CJ22" s="316" t="s">
        <v>52</v>
      </c>
      <c r="CK22" s="317"/>
      <c r="CM22" s="100"/>
      <c r="CN22" s="135"/>
      <c r="CO22" s="135"/>
      <c r="CP22" s="136"/>
      <c r="CQ22" s="197">
        <f>ROUND(SUM(CP23:CP24),0)</f>
        <v>0</v>
      </c>
      <c r="CR22" s="52"/>
      <c r="CS22" s="227">
        <f>SUM(N22,W22,AF22,AO22,AX22,BG22,BP22,BY22,CH22,CQ22)</f>
        <v>0</v>
      </c>
      <c r="CT22" s="227"/>
      <c r="CU22" s="175" t="str">
        <f t="shared" ref="CU22:CU24" si="148">G22</f>
        <v>Equipment</v>
      </c>
    </row>
    <row r="23" spans="1:99" s="40" customFormat="1" ht="12.75" customHeight="1" outlineLevel="1" x14ac:dyDescent="0.2">
      <c r="A23" s="38"/>
      <c r="E23" s="114"/>
      <c r="F23" s="52"/>
      <c r="G23" s="339" t="s">
        <v>53</v>
      </c>
      <c r="H23" s="340"/>
      <c r="J23" s="100"/>
      <c r="K23" s="100"/>
      <c r="L23" s="100"/>
      <c r="M23" s="198">
        <v>0</v>
      </c>
      <c r="N23" s="134"/>
      <c r="O23" s="52"/>
      <c r="P23" s="339" t="s">
        <v>53</v>
      </c>
      <c r="Q23" s="340"/>
      <c r="S23" s="100"/>
      <c r="T23" s="100"/>
      <c r="U23" s="100"/>
      <c r="V23" s="198">
        <v>0</v>
      </c>
      <c r="W23" s="134"/>
      <c r="X23" s="52"/>
      <c r="Y23" s="339" t="s">
        <v>53</v>
      </c>
      <c r="Z23" s="340"/>
      <c r="AB23" s="100"/>
      <c r="AC23" s="100"/>
      <c r="AD23" s="100"/>
      <c r="AE23" s="198">
        <v>0</v>
      </c>
      <c r="AF23" s="134"/>
      <c r="AG23" s="52"/>
      <c r="AH23" s="339" t="s">
        <v>53</v>
      </c>
      <c r="AI23" s="340"/>
      <c r="AK23" s="100"/>
      <c r="AL23" s="100"/>
      <c r="AM23" s="100"/>
      <c r="AN23" s="198">
        <v>0</v>
      </c>
      <c r="AO23" s="134"/>
      <c r="AP23" s="52"/>
      <c r="AQ23" s="339" t="s">
        <v>53</v>
      </c>
      <c r="AR23" s="340"/>
      <c r="AT23" s="100"/>
      <c r="AU23" s="100"/>
      <c r="AV23" s="100"/>
      <c r="AW23" s="198">
        <v>0</v>
      </c>
      <c r="AX23" s="134"/>
      <c r="AY23" s="52"/>
      <c r="AZ23" s="339" t="s">
        <v>53</v>
      </c>
      <c r="BA23" s="340"/>
      <c r="BC23" s="100"/>
      <c r="BD23" s="100"/>
      <c r="BE23" s="100"/>
      <c r="BF23" s="198">
        <v>0</v>
      </c>
      <c r="BG23" s="134"/>
      <c r="BH23" s="52"/>
      <c r="BI23" s="339" t="s">
        <v>53</v>
      </c>
      <c r="BJ23" s="340"/>
      <c r="BL23" s="100"/>
      <c r="BM23" s="100"/>
      <c r="BN23" s="100"/>
      <c r="BO23" s="198">
        <v>0</v>
      </c>
      <c r="BP23" s="134"/>
      <c r="BQ23" s="52"/>
      <c r="BR23" s="339" t="s">
        <v>53</v>
      </c>
      <c r="BS23" s="340"/>
      <c r="BU23" s="100"/>
      <c r="BV23" s="100"/>
      <c r="BW23" s="100"/>
      <c r="BX23" s="198">
        <v>0</v>
      </c>
      <c r="BY23" s="134"/>
      <c r="BZ23" s="52"/>
      <c r="CA23" s="339" t="s">
        <v>53</v>
      </c>
      <c r="CB23" s="340"/>
      <c r="CD23" s="100"/>
      <c r="CE23" s="100"/>
      <c r="CF23" s="100"/>
      <c r="CG23" s="198">
        <v>0</v>
      </c>
      <c r="CH23" s="134"/>
      <c r="CI23" s="52"/>
      <c r="CJ23" s="339" t="s">
        <v>53</v>
      </c>
      <c r="CK23" s="340"/>
      <c r="CM23" s="100"/>
      <c r="CN23" s="100"/>
      <c r="CO23" s="100"/>
      <c r="CP23" s="198">
        <v>0</v>
      </c>
      <c r="CQ23" s="134"/>
      <c r="CR23" s="52"/>
      <c r="CS23" s="95">
        <f>SUM(M23,V23,AE23,AN23,AW23,BF23,BO23,BX23,CG23,CP23)</f>
        <v>0</v>
      </c>
      <c r="CT23" s="95"/>
      <c r="CU23" s="110" t="str">
        <f t="shared" si="148"/>
        <v>Equipment 1</v>
      </c>
    </row>
    <row r="24" spans="1:99" s="40" customFormat="1" ht="12.75" customHeight="1" outlineLevel="1" x14ac:dyDescent="0.2">
      <c r="E24" s="115"/>
      <c r="F24" s="52"/>
      <c r="G24" s="339" t="s">
        <v>54</v>
      </c>
      <c r="H24" s="340"/>
      <c r="J24" s="100"/>
      <c r="K24" s="100"/>
      <c r="L24" s="100"/>
      <c r="M24" s="198">
        <v>0</v>
      </c>
      <c r="N24" s="134"/>
      <c r="O24" s="52"/>
      <c r="P24" s="339" t="s">
        <v>54</v>
      </c>
      <c r="Q24" s="340"/>
      <c r="S24" s="100"/>
      <c r="T24" s="100"/>
      <c r="U24" s="100"/>
      <c r="V24" s="198">
        <v>0</v>
      </c>
      <c r="W24" s="134"/>
      <c r="X24" s="52"/>
      <c r="Y24" s="339" t="s">
        <v>54</v>
      </c>
      <c r="Z24" s="340"/>
      <c r="AB24" s="100"/>
      <c r="AC24" s="100"/>
      <c r="AD24" s="100"/>
      <c r="AE24" s="198">
        <v>0</v>
      </c>
      <c r="AF24" s="134"/>
      <c r="AG24" s="52"/>
      <c r="AH24" s="339" t="s">
        <v>54</v>
      </c>
      <c r="AI24" s="340"/>
      <c r="AK24" s="100"/>
      <c r="AL24" s="100"/>
      <c r="AM24" s="100"/>
      <c r="AN24" s="198">
        <v>0</v>
      </c>
      <c r="AO24" s="134"/>
      <c r="AP24" s="52"/>
      <c r="AQ24" s="339" t="s">
        <v>54</v>
      </c>
      <c r="AR24" s="340"/>
      <c r="AT24" s="100"/>
      <c r="AU24" s="100"/>
      <c r="AV24" s="100"/>
      <c r="AW24" s="198">
        <v>0</v>
      </c>
      <c r="AX24" s="134"/>
      <c r="AY24" s="52"/>
      <c r="AZ24" s="339" t="s">
        <v>54</v>
      </c>
      <c r="BA24" s="340"/>
      <c r="BC24" s="100"/>
      <c r="BD24" s="100"/>
      <c r="BE24" s="100"/>
      <c r="BF24" s="198">
        <v>0</v>
      </c>
      <c r="BG24" s="134"/>
      <c r="BH24" s="52"/>
      <c r="BI24" s="339" t="s">
        <v>54</v>
      </c>
      <c r="BJ24" s="340"/>
      <c r="BL24" s="100"/>
      <c r="BM24" s="100"/>
      <c r="BN24" s="100"/>
      <c r="BO24" s="198">
        <v>0</v>
      </c>
      <c r="BP24" s="134"/>
      <c r="BQ24" s="52"/>
      <c r="BR24" s="339" t="s">
        <v>54</v>
      </c>
      <c r="BS24" s="340"/>
      <c r="BU24" s="100"/>
      <c r="BV24" s="100"/>
      <c r="BW24" s="100"/>
      <c r="BX24" s="198">
        <v>0</v>
      </c>
      <c r="BY24" s="134"/>
      <c r="BZ24" s="52"/>
      <c r="CA24" s="339" t="s">
        <v>54</v>
      </c>
      <c r="CB24" s="340"/>
      <c r="CD24" s="100"/>
      <c r="CE24" s="100"/>
      <c r="CF24" s="100"/>
      <c r="CG24" s="198">
        <v>0</v>
      </c>
      <c r="CH24" s="134"/>
      <c r="CI24" s="52"/>
      <c r="CJ24" s="339" t="s">
        <v>54</v>
      </c>
      <c r="CK24" s="340"/>
      <c r="CM24" s="100"/>
      <c r="CN24" s="100"/>
      <c r="CO24" s="100"/>
      <c r="CP24" s="198">
        <v>0</v>
      </c>
      <c r="CQ24" s="134"/>
      <c r="CR24" s="52"/>
      <c r="CS24" s="95">
        <f>SUM(M24,V24,AE24,AN24,AW24,BF24,BO24,BX24,CG24,CP24)</f>
        <v>0</v>
      </c>
      <c r="CT24" s="95"/>
      <c r="CU24" s="110" t="str">
        <f t="shared" si="148"/>
        <v>Equipment 2</v>
      </c>
    </row>
    <row r="25" spans="1:99" s="40" customFormat="1" ht="12.75" customHeight="1" x14ac:dyDescent="0.2">
      <c r="E25" s="114"/>
      <c r="F25" s="52"/>
      <c r="G25" s="133"/>
      <c r="J25" s="100"/>
      <c r="K25" s="100"/>
      <c r="L25" s="100"/>
      <c r="N25" s="134"/>
      <c r="O25" s="52"/>
      <c r="P25" s="133"/>
      <c r="S25" s="100"/>
      <c r="T25" s="100"/>
      <c r="U25" s="100"/>
      <c r="W25" s="134"/>
      <c r="X25" s="52"/>
      <c r="Y25" s="133"/>
      <c r="AB25" s="100"/>
      <c r="AC25" s="100"/>
      <c r="AD25" s="100"/>
      <c r="AF25" s="134"/>
      <c r="AG25" s="52"/>
      <c r="AH25" s="133"/>
      <c r="AK25" s="100"/>
      <c r="AL25" s="100"/>
      <c r="AM25" s="100"/>
      <c r="AO25" s="134"/>
      <c r="AP25" s="52"/>
      <c r="AQ25" s="133"/>
      <c r="AT25" s="100"/>
      <c r="AU25" s="100"/>
      <c r="AV25" s="100"/>
      <c r="AX25" s="134"/>
      <c r="AY25" s="52"/>
      <c r="AZ25" s="133"/>
      <c r="BC25" s="100"/>
      <c r="BD25" s="100"/>
      <c r="BE25" s="100"/>
      <c r="BG25" s="134"/>
      <c r="BH25" s="52"/>
      <c r="BI25" s="133"/>
      <c r="BL25" s="100"/>
      <c r="BM25" s="100"/>
      <c r="BN25" s="100"/>
      <c r="BP25" s="134"/>
      <c r="BQ25" s="52"/>
      <c r="BR25" s="133"/>
      <c r="BU25" s="100"/>
      <c r="BV25" s="100"/>
      <c r="BW25" s="100"/>
      <c r="BY25" s="134"/>
      <c r="BZ25" s="52"/>
      <c r="CA25" s="133"/>
      <c r="CD25" s="100"/>
      <c r="CE25" s="100"/>
      <c r="CF25" s="100"/>
      <c r="CH25" s="134"/>
      <c r="CI25" s="52"/>
      <c r="CJ25" s="133"/>
      <c r="CM25" s="100"/>
      <c r="CN25" s="100"/>
      <c r="CO25" s="100"/>
      <c r="CQ25" s="134"/>
      <c r="CR25" s="52"/>
      <c r="CU25" s="170"/>
    </row>
    <row r="26" spans="1:99" s="40" customFormat="1" ht="12.75" customHeight="1" outlineLevel="1" x14ac:dyDescent="0.25">
      <c r="F26" s="52"/>
      <c r="G26" s="316" t="s">
        <v>56</v>
      </c>
      <c r="H26" s="317"/>
      <c r="J26" s="100"/>
      <c r="K26" s="135"/>
      <c r="L26" s="135"/>
      <c r="M26" s="136"/>
      <c r="N26" s="197">
        <f>ROUND(SUM(M27:M28),0)</f>
        <v>0</v>
      </c>
      <c r="O26" s="52"/>
      <c r="P26" s="316" t="s">
        <v>56</v>
      </c>
      <c r="Q26" s="317"/>
      <c r="S26" s="100"/>
      <c r="T26" s="135"/>
      <c r="U26" s="135"/>
      <c r="V26" s="136"/>
      <c r="W26" s="197">
        <f>ROUND(SUM(V27:V28),0)</f>
        <v>0</v>
      </c>
      <c r="X26" s="52"/>
      <c r="Y26" s="316" t="s">
        <v>56</v>
      </c>
      <c r="Z26" s="317"/>
      <c r="AB26" s="100"/>
      <c r="AC26" s="135"/>
      <c r="AD26" s="135"/>
      <c r="AE26" s="136"/>
      <c r="AF26" s="197">
        <f>ROUND(SUM(AE27:AE28),0)</f>
        <v>0</v>
      </c>
      <c r="AG26" s="52"/>
      <c r="AH26" s="316" t="s">
        <v>56</v>
      </c>
      <c r="AI26" s="317"/>
      <c r="AK26" s="100"/>
      <c r="AL26" s="135"/>
      <c r="AM26" s="135"/>
      <c r="AN26" s="136"/>
      <c r="AO26" s="197">
        <f>ROUND(SUM(AN27:AN28),0)</f>
        <v>0</v>
      </c>
      <c r="AP26" s="52"/>
      <c r="AQ26" s="316" t="s">
        <v>56</v>
      </c>
      <c r="AR26" s="317"/>
      <c r="AT26" s="100"/>
      <c r="AU26" s="135"/>
      <c r="AV26" s="135"/>
      <c r="AW26" s="136"/>
      <c r="AX26" s="197">
        <f>ROUND(SUM(AW27:AW28),0)</f>
        <v>0</v>
      </c>
      <c r="AY26" s="52"/>
      <c r="AZ26" s="316" t="s">
        <v>56</v>
      </c>
      <c r="BA26" s="317"/>
      <c r="BC26" s="100"/>
      <c r="BD26" s="135"/>
      <c r="BE26" s="135"/>
      <c r="BF26" s="136"/>
      <c r="BG26" s="197">
        <f>ROUND(SUM(BF27:BF28),0)</f>
        <v>0</v>
      </c>
      <c r="BH26" s="52"/>
      <c r="BI26" s="316" t="s">
        <v>56</v>
      </c>
      <c r="BJ26" s="317"/>
      <c r="BL26" s="100"/>
      <c r="BM26" s="135"/>
      <c r="BN26" s="135"/>
      <c r="BO26" s="136"/>
      <c r="BP26" s="197">
        <f>ROUND(SUM(BO27:BO28),0)</f>
        <v>0</v>
      </c>
      <c r="BQ26" s="52"/>
      <c r="BR26" s="316" t="s">
        <v>56</v>
      </c>
      <c r="BS26" s="317"/>
      <c r="BU26" s="100"/>
      <c r="BV26" s="135"/>
      <c r="BW26" s="135"/>
      <c r="BX26" s="136"/>
      <c r="BY26" s="197">
        <f>ROUND(SUM(BX27:BX28),0)</f>
        <v>0</v>
      </c>
      <c r="BZ26" s="52"/>
      <c r="CA26" s="316" t="s">
        <v>56</v>
      </c>
      <c r="CB26" s="317"/>
      <c r="CD26" s="100"/>
      <c r="CE26" s="135"/>
      <c r="CF26" s="135"/>
      <c r="CG26" s="136"/>
      <c r="CH26" s="197">
        <f>ROUND(SUM(CG27:CG28),0)</f>
        <v>0</v>
      </c>
      <c r="CI26" s="52"/>
      <c r="CJ26" s="316" t="s">
        <v>56</v>
      </c>
      <c r="CK26" s="317"/>
      <c r="CM26" s="100"/>
      <c r="CN26" s="135"/>
      <c r="CO26" s="135"/>
      <c r="CP26" s="136"/>
      <c r="CQ26" s="197">
        <f>ROUND(SUM(CP27:CP28),0)</f>
        <v>0</v>
      </c>
      <c r="CR26" s="52"/>
      <c r="CS26" s="227">
        <f>SUM(N26,W26,AF26,AO26,AX26,BG26,BP26,BY26,CH26,CQ26)</f>
        <v>0</v>
      </c>
      <c r="CT26" s="227"/>
      <c r="CU26" s="227" t="str">
        <f t="shared" ref="CU26:CU28" si="149">G26</f>
        <v>Travel</v>
      </c>
    </row>
    <row r="27" spans="1:99" s="40" customFormat="1" ht="12.75" customHeight="1" outlineLevel="1" x14ac:dyDescent="0.2">
      <c r="F27" s="52"/>
      <c r="G27" s="329" t="s">
        <v>58</v>
      </c>
      <c r="H27" s="330"/>
      <c r="J27" s="100"/>
      <c r="K27" s="100"/>
      <c r="L27" s="100"/>
      <c r="M27" s="198">
        <v>0</v>
      </c>
      <c r="N27" s="134"/>
      <c r="O27" s="52"/>
      <c r="P27" s="329" t="s">
        <v>58</v>
      </c>
      <c r="Q27" s="330"/>
      <c r="S27" s="100"/>
      <c r="T27" s="100"/>
      <c r="U27" s="100"/>
      <c r="V27" s="198">
        <v>0</v>
      </c>
      <c r="W27" s="134"/>
      <c r="X27" s="52"/>
      <c r="Y27" s="329" t="s">
        <v>58</v>
      </c>
      <c r="Z27" s="330"/>
      <c r="AB27" s="100"/>
      <c r="AC27" s="100"/>
      <c r="AD27" s="100"/>
      <c r="AE27" s="198">
        <v>0</v>
      </c>
      <c r="AF27" s="134"/>
      <c r="AG27" s="52"/>
      <c r="AH27" s="329" t="s">
        <v>58</v>
      </c>
      <c r="AI27" s="330"/>
      <c r="AK27" s="100"/>
      <c r="AL27" s="100"/>
      <c r="AM27" s="135"/>
      <c r="AN27" s="198">
        <v>0</v>
      </c>
      <c r="AO27" s="134"/>
      <c r="AP27" s="52"/>
      <c r="AQ27" s="329" t="s">
        <v>58</v>
      </c>
      <c r="AR27" s="330"/>
      <c r="AT27" s="100"/>
      <c r="AU27" s="100"/>
      <c r="AV27" s="100"/>
      <c r="AW27" s="198">
        <v>0</v>
      </c>
      <c r="AX27" s="134"/>
      <c r="AY27" s="52"/>
      <c r="AZ27" s="329" t="s">
        <v>58</v>
      </c>
      <c r="BA27" s="330"/>
      <c r="BC27" s="100"/>
      <c r="BD27" s="100"/>
      <c r="BE27" s="100"/>
      <c r="BF27" s="198">
        <v>0</v>
      </c>
      <c r="BG27" s="134"/>
      <c r="BH27" s="52"/>
      <c r="BI27" s="329" t="s">
        <v>58</v>
      </c>
      <c r="BJ27" s="330"/>
      <c r="BL27" s="100"/>
      <c r="BM27" s="100"/>
      <c r="BN27" s="100"/>
      <c r="BO27" s="198">
        <v>0</v>
      </c>
      <c r="BP27" s="134"/>
      <c r="BQ27" s="52"/>
      <c r="BR27" s="329" t="s">
        <v>58</v>
      </c>
      <c r="BS27" s="330"/>
      <c r="BU27" s="100"/>
      <c r="BV27" s="100"/>
      <c r="BW27" s="100"/>
      <c r="BX27" s="198">
        <v>0</v>
      </c>
      <c r="BY27" s="134"/>
      <c r="BZ27" s="52"/>
      <c r="CA27" s="329" t="s">
        <v>58</v>
      </c>
      <c r="CB27" s="330"/>
      <c r="CD27" s="100"/>
      <c r="CE27" s="100"/>
      <c r="CF27" s="100"/>
      <c r="CG27" s="198">
        <v>0</v>
      </c>
      <c r="CH27" s="134"/>
      <c r="CI27" s="52"/>
      <c r="CJ27" s="329" t="s">
        <v>58</v>
      </c>
      <c r="CK27" s="330"/>
      <c r="CM27" s="100"/>
      <c r="CN27" s="100"/>
      <c r="CO27" s="100"/>
      <c r="CP27" s="198">
        <v>0</v>
      </c>
      <c r="CQ27" s="134"/>
      <c r="CR27" s="52"/>
      <c r="CS27" s="95">
        <f>SUM(M27,V27,AE27,AN27,AW27,BF27,BO27,BX27,CG27,CP27)</f>
        <v>0</v>
      </c>
      <c r="CT27" s="95"/>
      <c r="CU27" s="43" t="str">
        <f t="shared" si="149"/>
        <v>Domestic Travel</v>
      </c>
    </row>
    <row r="28" spans="1:99" s="40" customFormat="1" ht="12.75" customHeight="1" outlineLevel="1" x14ac:dyDescent="0.2">
      <c r="F28" s="52"/>
      <c r="G28" s="329" t="s">
        <v>60</v>
      </c>
      <c r="H28" s="330"/>
      <c r="J28" s="100"/>
      <c r="K28" s="100"/>
      <c r="L28" s="100"/>
      <c r="M28" s="198">
        <v>0</v>
      </c>
      <c r="N28" s="134"/>
      <c r="O28" s="52"/>
      <c r="P28" s="329" t="s">
        <v>60</v>
      </c>
      <c r="Q28" s="330"/>
      <c r="S28" s="100"/>
      <c r="T28" s="100"/>
      <c r="U28" s="100"/>
      <c r="V28" s="198">
        <v>0</v>
      </c>
      <c r="W28" s="134"/>
      <c r="X28" s="52"/>
      <c r="Y28" s="329" t="s">
        <v>60</v>
      </c>
      <c r="Z28" s="330"/>
      <c r="AB28" s="100"/>
      <c r="AC28" s="100"/>
      <c r="AD28" s="100"/>
      <c r="AE28" s="198">
        <v>0</v>
      </c>
      <c r="AF28" s="134"/>
      <c r="AG28" s="52"/>
      <c r="AH28" s="329" t="s">
        <v>60</v>
      </c>
      <c r="AI28" s="330"/>
      <c r="AK28" s="100"/>
      <c r="AL28" s="100"/>
      <c r="AM28" s="135"/>
      <c r="AN28" s="198">
        <v>0</v>
      </c>
      <c r="AO28" s="134"/>
      <c r="AP28" s="52"/>
      <c r="AQ28" s="329" t="s">
        <v>60</v>
      </c>
      <c r="AR28" s="330"/>
      <c r="AT28" s="100"/>
      <c r="AU28" s="100"/>
      <c r="AV28" s="100"/>
      <c r="AW28" s="198">
        <v>0</v>
      </c>
      <c r="AX28" s="134"/>
      <c r="AY28" s="52"/>
      <c r="AZ28" s="329" t="s">
        <v>60</v>
      </c>
      <c r="BA28" s="330"/>
      <c r="BC28" s="100"/>
      <c r="BD28" s="100"/>
      <c r="BE28" s="100"/>
      <c r="BF28" s="198">
        <v>0</v>
      </c>
      <c r="BG28" s="134"/>
      <c r="BH28" s="52"/>
      <c r="BI28" s="329" t="s">
        <v>60</v>
      </c>
      <c r="BJ28" s="330"/>
      <c r="BL28" s="100"/>
      <c r="BM28" s="100"/>
      <c r="BN28" s="100"/>
      <c r="BO28" s="198">
        <v>0</v>
      </c>
      <c r="BP28" s="134"/>
      <c r="BQ28" s="52"/>
      <c r="BR28" s="329" t="s">
        <v>60</v>
      </c>
      <c r="BS28" s="330"/>
      <c r="BU28" s="100"/>
      <c r="BV28" s="100"/>
      <c r="BW28" s="100"/>
      <c r="BX28" s="198">
        <v>0</v>
      </c>
      <c r="BY28" s="134"/>
      <c r="BZ28" s="52"/>
      <c r="CA28" s="329" t="s">
        <v>60</v>
      </c>
      <c r="CB28" s="330"/>
      <c r="CD28" s="100"/>
      <c r="CE28" s="100"/>
      <c r="CF28" s="100"/>
      <c r="CG28" s="198">
        <v>0</v>
      </c>
      <c r="CH28" s="134"/>
      <c r="CI28" s="52"/>
      <c r="CJ28" s="329" t="s">
        <v>60</v>
      </c>
      <c r="CK28" s="330"/>
      <c r="CM28" s="100"/>
      <c r="CN28" s="100"/>
      <c r="CO28" s="100"/>
      <c r="CP28" s="198">
        <v>0</v>
      </c>
      <c r="CQ28" s="134"/>
      <c r="CR28" s="52"/>
      <c r="CS28" s="95">
        <f>SUM(M28,V28,AE28,AN28,AW28,BF28,BO28,BX28,CG28,CP28)</f>
        <v>0</v>
      </c>
      <c r="CT28" s="95"/>
      <c r="CU28" s="43" t="str">
        <f t="shared" si="149"/>
        <v>International Travel</v>
      </c>
    </row>
    <row r="29" spans="1:99" s="40" customFormat="1" ht="12.75" customHeight="1" x14ac:dyDescent="0.2">
      <c r="F29" s="52"/>
      <c r="G29" s="133"/>
      <c r="J29" s="100"/>
      <c r="K29" s="100"/>
      <c r="L29" s="100"/>
      <c r="N29" s="134"/>
      <c r="O29" s="52"/>
      <c r="P29" s="133"/>
      <c r="S29" s="100"/>
      <c r="T29" s="100"/>
      <c r="U29" s="100"/>
      <c r="W29" s="134"/>
      <c r="X29" s="52"/>
      <c r="Y29" s="133"/>
      <c r="AB29" s="100"/>
      <c r="AC29" s="100"/>
      <c r="AD29" s="100"/>
      <c r="AF29" s="134"/>
      <c r="AG29" s="52"/>
      <c r="AH29" s="133"/>
      <c r="AK29" s="100"/>
      <c r="AL29" s="100"/>
      <c r="AM29" s="135"/>
      <c r="AO29" s="134"/>
      <c r="AP29" s="52"/>
      <c r="AQ29" s="133"/>
      <c r="AT29" s="100"/>
      <c r="AU29" s="100"/>
      <c r="AV29" s="100"/>
      <c r="AX29" s="134"/>
      <c r="AY29" s="52"/>
      <c r="AZ29" s="133"/>
      <c r="BC29" s="100"/>
      <c r="BD29" s="100"/>
      <c r="BE29" s="100"/>
      <c r="BG29" s="134"/>
      <c r="BH29" s="52"/>
      <c r="BI29" s="133"/>
      <c r="BL29" s="100"/>
      <c r="BM29" s="100"/>
      <c r="BN29" s="100"/>
      <c r="BP29" s="134"/>
      <c r="BQ29" s="52"/>
      <c r="BR29" s="133"/>
      <c r="BU29" s="100"/>
      <c r="BV29" s="100"/>
      <c r="BW29" s="100"/>
      <c r="BY29" s="134"/>
      <c r="BZ29" s="52"/>
      <c r="CA29" s="133"/>
      <c r="CD29" s="100"/>
      <c r="CE29" s="100"/>
      <c r="CF29" s="100"/>
      <c r="CH29" s="134"/>
      <c r="CI29" s="52"/>
      <c r="CJ29" s="133"/>
      <c r="CM29" s="100"/>
      <c r="CN29" s="100"/>
      <c r="CO29" s="100"/>
      <c r="CQ29" s="134"/>
      <c r="CR29" s="52"/>
    </row>
    <row r="30" spans="1:99" s="40" customFormat="1" ht="12.75" customHeight="1" outlineLevel="1" x14ac:dyDescent="0.25">
      <c r="F30" s="52"/>
      <c r="G30" s="316" t="s">
        <v>62</v>
      </c>
      <c r="H30" s="317"/>
      <c r="I30" s="137"/>
      <c r="J30" s="100"/>
      <c r="K30" s="100"/>
      <c r="L30" s="100"/>
      <c r="N30" s="197">
        <f>ROUND(SUM(M31:M34),0)</f>
        <v>0</v>
      </c>
      <c r="O30" s="52"/>
      <c r="P30" s="316" t="s">
        <v>62</v>
      </c>
      <c r="Q30" s="317"/>
      <c r="R30" s="137"/>
      <c r="S30" s="100"/>
      <c r="T30" s="100"/>
      <c r="U30" s="100"/>
      <c r="W30" s="197">
        <f>ROUND(SUM(V31:V34),0)</f>
        <v>0</v>
      </c>
      <c r="X30" s="52"/>
      <c r="Y30" s="316" t="s">
        <v>62</v>
      </c>
      <c r="Z30" s="317"/>
      <c r="AA30" s="137"/>
      <c r="AB30" s="100"/>
      <c r="AC30" s="100"/>
      <c r="AD30" s="100"/>
      <c r="AF30" s="197">
        <f>ROUND(SUM(AE31:AE34),0)</f>
        <v>0</v>
      </c>
      <c r="AG30" s="52"/>
      <c r="AH30" s="316" t="s">
        <v>62</v>
      </c>
      <c r="AI30" s="317"/>
      <c r="AJ30" s="137"/>
      <c r="AK30" s="100"/>
      <c r="AL30" s="100"/>
      <c r="AM30" s="135"/>
      <c r="AO30" s="197">
        <f>ROUND(SUM(AN31:AN34),0)</f>
        <v>0</v>
      </c>
      <c r="AP30" s="52"/>
      <c r="AQ30" s="316" t="s">
        <v>62</v>
      </c>
      <c r="AR30" s="317"/>
      <c r="AS30" s="137"/>
      <c r="AT30" s="100"/>
      <c r="AU30" s="100"/>
      <c r="AV30" s="100"/>
      <c r="AX30" s="197">
        <f>ROUND(SUM(AW31:AW34),0)</f>
        <v>0</v>
      </c>
      <c r="AY30" s="52"/>
      <c r="AZ30" s="316" t="s">
        <v>62</v>
      </c>
      <c r="BA30" s="317"/>
      <c r="BB30" s="137"/>
      <c r="BC30" s="100"/>
      <c r="BD30" s="100"/>
      <c r="BE30" s="100"/>
      <c r="BG30" s="197">
        <f>ROUND(SUM(BF31:BF34),0)</f>
        <v>0</v>
      </c>
      <c r="BH30" s="52"/>
      <c r="BI30" s="316" t="s">
        <v>62</v>
      </c>
      <c r="BJ30" s="317"/>
      <c r="BK30" s="137"/>
      <c r="BL30" s="100"/>
      <c r="BM30" s="100"/>
      <c r="BN30" s="100"/>
      <c r="BP30" s="197">
        <f>ROUND(SUM(BO31:BO34),0)</f>
        <v>0</v>
      </c>
      <c r="BQ30" s="52"/>
      <c r="BR30" s="316" t="s">
        <v>62</v>
      </c>
      <c r="BS30" s="317"/>
      <c r="BT30" s="137"/>
      <c r="BU30" s="100"/>
      <c r="BV30" s="100"/>
      <c r="BW30" s="100"/>
      <c r="BY30" s="197">
        <f>ROUND(SUM(BX31:BX34),0)</f>
        <v>0</v>
      </c>
      <c r="BZ30" s="52"/>
      <c r="CA30" s="316" t="s">
        <v>62</v>
      </c>
      <c r="CB30" s="317"/>
      <c r="CC30" s="137"/>
      <c r="CD30" s="100"/>
      <c r="CE30" s="100"/>
      <c r="CF30" s="100"/>
      <c r="CH30" s="197">
        <f>ROUND(SUM(CG31:CG34),0)</f>
        <v>0</v>
      </c>
      <c r="CI30" s="52"/>
      <c r="CJ30" s="316" t="s">
        <v>62</v>
      </c>
      <c r="CK30" s="317"/>
      <c r="CL30" s="137"/>
      <c r="CM30" s="100"/>
      <c r="CN30" s="100"/>
      <c r="CO30" s="100"/>
      <c r="CQ30" s="197">
        <f>ROUND(SUM(CP31:CP34),0)</f>
        <v>0</v>
      </c>
      <c r="CR30" s="52"/>
      <c r="CS30" s="227">
        <f>SUM(N30,W30,AF30,AO30,AX30,BG30,BP30,BY30,CH30,CQ30)</f>
        <v>0</v>
      </c>
      <c r="CT30" s="227"/>
      <c r="CU30" s="227" t="str">
        <f t="shared" ref="CU30:CU34" si="150">G30</f>
        <v>Participant Support</v>
      </c>
    </row>
    <row r="31" spans="1:99" s="40" customFormat="1" ht="12.75" customHeight="1" outlineLevel="1" x14ac:dyDescent="0.2">
      <c r="F31" s="52"/>
      <c r="G31" s="329" t="s">
        <v>64</v>
      </c>
      <c r="H31" s="330"/>
      <c r="J31" s="100"/>
      <c r="K31" s="100"/>
      <c r="L31" s="100"/>
      <c r="M31" s="198">
        <v>0</v>
      </c>
      <c r="N31" s="134"/>
      <c r="O31" s="52"/>
      <c r="P31" s="329" t="s">
        <v>64</v>
      </c>
      <c r="Q31" s="330"/>
      <c r="S31" s="100"/>
      <c r="T31" s="100"/>
      <c r="U31" s="100"/>
      <c r="V31" s="198">
        <v>0</v>
      </c>
      <c r="W31" s="134"/>
      <c r="X31" s="52"/>
      <c r="Y31" s="329" t="s">
        <v>64</v>
      </c>
      <c r="Z31" s="330"/>
      <c r="AB31" s="100"/>
      <c r="AC31" s="100"/>
      <c r="AD31" s="100"/>
      <c r="AE31" s="198">
        <v>0</v>
      </c>
      <c r="AF31" s="134"/>
      <c r="AG31" s="52"/>
      <c r="AH31" s="329" t="s">
        <v>64</v>
      </c>
      <c r="AI31" s="330"/>
      <c r="AK31" s="100"/>
      <c r="AL31" s="100"/>
      <c r="AM31" s="135"/>
      <c r="AN31" s="198">
        <v>0</v>
      </c>
      <c r="AO31" s="134"/>
      <c r="AP31" s="52"/>
      <c r="AQ31" s="329" t="s">
        <v>64</v>
      </c>
      <c r="AR31" s="330"/>
      <c r="AT31" s="100"/>
      <c r="AU31" s="100"/>
      <c r="AV31" s="100"/>
      <c r="AW31" s="198">
        <v>0</v>
      </c>
      <c r="AX31" s="134"/>
      <c r="AY31" s="52"/>
      <c r="AZ31" s="329" t="s">
        <v>64</v>
      </c>
      <c r="BA31" s="330"/>
      <c r="BC31" s="100"/>
      <c r="BD31" s="100"/>
      <c r="BE31" s="100"/>
      <c r="BF31" s="198">
        <v>0</v>
      </c>
      <c r="BG31" s="134"/>
      <c r="BH31" s="52"/>
      <c r="BI31" s="329" t="s">
        <v>64</v>
      </c>
      <c r="BJ31" s="330"/>
      <c r="BL31" s="100"/>
      <c r="BM31" s="100"/>
      <c r="BN31" s="100"/>
      <c r="BO31" s="198">
        <v>0</v>
      </c>
      <c r="BP31" s="134"/>
      <c r="BQ31" s="52"/>
      <c r="BR31" s="329" t="s">
        <v>64</v>
      </c>
      <c r="BS31" s="330"/>
      <c r="BU31" s="100"/>
      <c r="BV31" s="100"/>
      <c r="BW31" s="100"/>
      <c r="BX31" s="198">
        <v>0</v>
      </c>
      <c r="BY31" s="134"/>
      <c r="BZ31" s="52"/>
      <c r="CA31" s="329" t="s">
        <v>64</v>
      </c>
      <c r="CB31" s="330"/>
      <c r="CD31" s="100"/>
      <c r="CE31" s="100"/>
      <c r="CF31" s="100"/>
      <c r="CG31" s="198">
        <v>0</v>
      </c>
      <c r="CH31" s="134"/>
      <c r="CI31" s="52"/>
      <c r="CJ31" s="329" t="s">
        <v>64</v>
      </c>
      <c r="CK31" s="330"/>
      <c r="CM31" s="100"/>
      <c r="CN31" s="100"/>
      <c r="CO31" s="100"/>
      <c r="CP31" s="198">
        <v>0</v>
      </c>
      <c r="CQ31" s="134"/>
      <c r="CR31" s="52"/>
      <c r="CS31" s="95">
        <f t="shared" ref="CS31:CS34" si="151">SUM(M31,V31,AE31,AN31,AW31,BF31,BO31,BX31,CG31,CP31)</f>
        <v>0</v>
      </c>
      <c r="CT31" s="95"/>
      <c r="CU31" s="43" t="str">
        <f t="shared" si="150"/>
        <v>Stipend</v>
      </c>
    </row>
    <row r="32" spans="1:99" s="40" customFormat="1" ht="12.75" customHeight="1" outlineLevel="1" x14ac:dyDescent="0.2">
      <c r="F32" s="52"/>
      <c r="G32" s="329" t="s">
        <v>56</v>
      </c>
      <c r="H32" s="330"/>
      <c r="J32" s="100"/>
      <c r="K32" s="100"/>
      <c r="L32" s="100"/>
      <c r="M32" s="198">
        <v>0</v>
      </c>
      <c r="N32" s="134"/>
      <c r="O32" s="52"/>
      <c r="P32" s="329" t="s">
        <v>56</v>
      </c>
      <c r="Q32" s="330"/>
      <c r="S32" s="100"/>
      <c r="T32" s="100"/>
      <c r="U32" s="100"/>
      <c r="V32" s="198">
        <v>0</v>
      </c>
      <c r="W32" s="134"/>
      <c r="X32" s="52"/>
      <c r="Y32" s="329" t="s">
        <v>56</v>
      </c>
      <c r="Z32" s="330"/>
      <c r="AB32" s="100"/>
      <c r="AC32" s="100"/>
      <c r="AD32" s="100"/>
      <c r="AE32" s="198">
        <v>0</v>
      </c>
      <c r="AF32" s="134"/>
      <c r="AG32" s="52"/>
      <c r="AH32" s="329" t="s">
        <v>56</v>
      </c>
      <c r="AI32" s="330"/>
      <c r="AK32" s="100"/>
      <c r="AL32" s="100"/>
      <c r="AM32" s="135"/>
      <c r="AN32" s="198">
        <v>0</v>
      </c>
      <c r="AO32" s="134"/>
      <c r="AP32" s="52"/>
      <c r="AQ32" s="329" t="s">
        <v>56</v>
      </c>
      <c r="AR32" s="330"/>
      <c r="AT32" s="100"/>
      <c r="AU32" s="100"/>
      <c r="AV32" s="100"/>
      <c r="AW32" s="198">
        <v>0</v>
      </c>
      <c r="AX32" s="134"/>
      <c r="AY32" s="52"/>
      <c r="AZ32" s="329" t="s">
        <v>56</v>
      </c>
      <c r="BA32" s="330"/>
      <c r="BC32" s="100"/>
      <c r="BD32" s="100"/>
      <c r="BE32" s="100"/>
      <c r="BF32" s="198">
        <v>0</v>
      </c>
      <c r="BG32" s="134"/>
      <c r="BH32" s="52"/>
      <c r="BI32" s="329" t="s">
        <v>56</v>
      </c>
      <c r="BJ32" s="330"/>
      <c r="BL32" s="100"/>
      <c r="BM32" s="100"/>
      <c r="BN32" s="100"/>
      <c r="BO32" s="198">
        <v>0</v>
      </c>
      <c r="BP32" s="134"/>
      <c r="BQ32" s="52"/>
      <c r="BR32" s="329" t="s">
        <v>56</v>
      </c>
      <c r="BS32" s="330"/>
      <c r="BU32" s="100"/>
      <c r="BV32" s="100"/>
      <c r="BW32" s="100"/>
      <c r="BX32" s="198">
        <v>0</v>
      </c>
      <c r="BY32" s="134"/>
      <c r="BZ32" s="52"/>
      <c r="CA32" s="329" t="s">
        <v>56</v>
      </c>
      <c r="CB32" s="330"/>
      <c r="CD32" s="100"/>
      <c r="CE32" s="100"/>
      <c r="CF32" s="100"/>
      <c r="CG32" s="198">
        <v>0</v>
      </c>
      <c r="CH32" s="134"/>
      <c r="CI32" s="52"/>
      <c r="CJ32" s="329" t="s">
        <v>56</v>
      </c>
      <c r="CK32" s="330"/>
      <c r="CM32" s="100"/>
      <c r="CN32" s="100"/>
      <c r="CO32" s="100"/>
      <c r="CP32" s="198">
        <v>0</v>
      </c>
      <c r="CQ32" s="134"/>
      <c r="CR32" s="52"/>
      <c r="CS32" s="95">
        <f t="shared" si="151"/>
        <v>0</v>
      </c>
      <c r="CT32" s="95"/>
      <c r="CU32" s="43" t="str">
        <f t="shared" si="150"/>
        <v>Travel</v>
      </c>
    </row>
    <row r="33" spans="6:99" s="40" customFormat="1" ht="12.75" customHeight="1" outlineLevel="1" x14ac:dyDescent="0.2">
      <c r="F33" s="52"/>
      <c r="G33" s="329" t="s">
        <v>67</v>
      </c>
      <c r="H33" s="330"/>
      <c r="J33" s="100"/>
      <c r="K33" s="100"/>
      <c r="L33" s="100"/>
      <c r="M33" s="198">
        <v>0</v>
      </c>
      <c r="N33" s="134"/>
      <c r="O33" s="52"/>
      <c r="P33" s="329" t="s">
        <v>67</v>
      </c>
      <c r="Q33" s="330"/>
      <c r="S33" s="100"/>
      <c r="T33" s="100"/>
      <c r="U33" s="100"/>
      <c r="V33" s="198">
        <v>0</v>
      </c>
      <c r="W33" s="134"/>
      <c r="X33" s="52"/>
      <c r="Y33" s="329" t="s">
        <v>67</v>
      </c>
      <c r="Z33" s="330"/>
      <c r="AB33" s="100"/>
      <c r="AC33" s="100"/>
      <c r="AD33" s="100"/>
      <c r="AE33" s="198">
        <v>0</v>
      </c>
      <c r="AF33" s="134"/>
      <c r="AG33" s="52"/>
      <c r="AH33" s="329" t="s">
        <v>67</v>
      </c>
      <c r="AI33" s="330"/>
      <c r="AK33" s="100"/>
      <c r="AL33" s="100"/>
      <c r="AM33" s="135"/>
      <c r="AN33" s="198">
        <v>0</v>
      </c>
      <c r="AO33" s="134"/>
      <c r="AP33" s="52"/>
      <c r="AQ33" s="329" t="s">
        <v>67</v>
      </c>
      <c r="AR33" s="330"/>
      <c r="AT33" s="100"/>
      <c r="AU33" s="100"/>
      <c r="AV33" s="100"/>
      <c r="AW33" s="198">
        <v>0</v>
      </c>
      <c r="AX33" s="134"/>
      <c r="AY33" s="52"/>
      <c r="AZ33" s="329" t="s">
        <v>67</v>
      </c>
      <c r="BA33" s="330"/>
      <c r="BC33" s="100"/>
      <c r="BD33" s="100"/>
      <c r="BE33" s="100"/>
      <c r="BF33" s="198">
        <v>0</v>
      </c>
      <c r="BG33" s="134"/>
      <c r="BH33" s="52"/>
      <c r="BI33" s="329" t="s">
        <v>67</v>
      </c>
      <c r="BJ33" s="330"/>
      <c r="BL33" s="100"/>
      <c r="BM33" s="100"/>
      <c r="BN33" s="100"/>
      <c r="BO33" s="198">
        <v>0</v>
      </c>
      <c r="BP33" s="134"/>
      <c r="BQ33" s="52"/>
      <c r="BR33" s="329" t="s">
        <v>67</v>
      </c>
      <c r="BS33" s="330"/>
      <c r="BU33" s="100"/>
      <c r="BV33" s="100"/>
      <c r="BW33" s="100"/>
      <c r="BX33" s="198">
        <v>0</v>
      </c>
      <c r="BY33" s="134"/>
      <c r="BZ33" s="52"/>
      <c r="CA33" s="329" t="s">
        <v>67</v>
      </c>
      <c r="CB33" s="330"/>
      <c r="CD33" s="100"/>
      <c r="CE33" s="100"/>
      <c r="CF33" s="100"/>
      <c r="CG33" s="198">
        <v>0</v>
      </c>
      <c r="CH33" s="134"/>
      <c r="CI33" s="52"/>
      <c r="CJ33" s="329" t="s">
        <v>67</v>
      </c>
      <c r="CK33" s="330"/>
      <c r="CM33" s="100"/>
      <c r="CN33" s="100"/>
      <c r="CO33" s="100"/>
      <c r="CP33" s="198">
        <v>0</v>
      </c>
      <c r="CQ33" s="134"/>
      <c r="CR33" s="52"/>
      <c r="CS33" s="95">
        <f t="shared" si="151"/>
        <v>0</v>
      </c>
      <c r="CT33" s="95"/>
      <c r="CU33" s="43" t="str">
        <f t="shared" si="150"/>
        <v>Subsistence</v>
      </c>
    </row>
    <row r="34" spans="6:99" s="40" customFormat="1" ht="12.75" customHeight="1" outlineLevel="1" x14ac:dyDescent="0.2">
      <c r="F34" s="52"/>
      <c r="G34" s="329" t="s">
        <v>69</v>
      </c>
      <c r="H34" s="330"/>
      <c r="J34" s="100"/>
      <c r="K34" s="100"/>
      <c r="L34" s="100"/>
      <c r="M34" s="198">
        <v>0</v>
      </c>
      <c r="N34" s="134"/>
      <c r="O34" s="52"/>
      <c r="P34" s="329" t="s">
        <v>69</v>
      </c>
      <c r="Q34" s="330"/>
      <c r="S34" s="100"/>
      <c r="T34" s="100"/>
      <c r="U34" s="100"/>
      <c r="V34" s="198">
        <v>0</v>
      </c>
      <c r="W34" s="134"/>
      <c r="X34" s="52"/>
      <c r="Y34" s="329" t="s">
        <v>69</v>
      </c>
      <c r="Z34" s="330"/>
      <c r="AB34" s="100"/>
      <c r="AC34" s="100"/>
      <c r="AD34" s="100"/>
      <c r="AE34" s="198">
        <v>0</v>
      </c>
      <c r="AF34" s="134"/>
      <c r="AG34" s="52"/>
      <c r="AH34" s="329" t="s">
        <v>69</v>
      </c>
      <c r="AI34" s="330"/>
      <c r="AK34" s="100"/>
      <c r="AL34" s="100"/>
      <c r="AM34" s="135"/>
      <c r="AN34" s="198">
        <v>0</v>
      </c>
      <c r="AO34" s="134"/>
      <c r="AP34" s="52"/>
      <c r="AQ34" s="329" t="s">
        <v>69</v>
      </c>
      <c r="AR34" s="330"/>
      <c r="AT34" s="100"/>
      <c r="AU34" s="100"/>
      <c r="AV34" s="100"/>
      <c r="AW34" s="198">
        <v>0</v>
      </c>
      <c r="AX34" s="134"/>
      <c r="AY34" s="52"/>
      <c r="AZ34" s="329" t="s">
        <v>69</v>
      </c>
      <c r="BA34" s="330"/>
      <c r="BC34" s="100"/>
      <c r="BD34" s="100"/>
      <c r="BE34" s="100"/>
      <c r="BF34" s="198">
        <v>0</v>
      </c>
      <c r="BG34" s="134"/>
      <c r="BH34" s="52"/>
      <c r="BI34" s="329" t="s">
        <v>69</v>
      </c>
      <c r="BJ34" s="330"/>
      <c r="BL34" s="100"/>
      <c r="BM34" s="100"/>
      <c r="BN34" s="100"/>
      <c r="BO34" s="198">
        <v>0</v>
      </c>
      <c r="BP34" s="134"/>
      <c r="BQ34" s="52"/>
      <c r="BR34" s="329" t="s">
        <v>69</v>
      </c>
      <c r="BS34" s="330"/>
      <c r="BU34" s="100"/>
      <c r="BV34" s="100"/>
      <c r="BW34" s="100"/>
      <c r="BX34" s="198">
        <v>0</v>
      </c>
      <c r="BY34" s="134"/>
      <c r="BZ34" s="52"/>
      <c r="CA34" s="329" t="s">
        <v>69</v>
      </c>
      <c r="CB34" s="330"/>
      <c r="CD34" s="100"/>
      <c r="CE34" s="100"/>
      <c r="CF34" s="100"/>
      <c r="CG34" s="198">
        <v>0</v>
      </c>
      <c r="CH34" s="134"/>
      <c r="CI34" s="52"/>
      <c r="CJ34" s="329" t="s">
        <v>69</v>
      </c>
      <c r="CK34" s="330"/>
      <c r="CM34" s="100"/>
      <c r="CN34" s="100"/>
      <c r="CO34" s="100"/>
      <c r="CP34" s="198">
        <v>0</v>
      </c>
      <c r="CQ34" s="134"/>
      <c r="CR34" s="52"/>
      <c r="CS34" s="95">
        <f t="shared" si="151"/>
        <v>0</v>
      </c>
      <c r="CT34" s="95"/>
      <c r="CU34" s="43" t="str">
        <f t="shared" si="150"/>
        <v>Other</v>
      </c>
    </row>
    <row r="35" spans="6:99" s="40" customFormat="1" ht="12.75" customHeight="1" x14ac:dyDescent="0.2">
      <c r="F35" s="52"/>
      <c r="G35" s="133"/>
      <c r="H35" s="138"/>
      <c r="I35" s="54"/>
      <c r="J35" s="100"/>
      <c r="K35" s="100"/>
      <c r="L35" s="100"/>
      <c r="N35" s="134"/>
      <c r="O35" s="52"/>
      <c r="P35" s="133"/>
      <c r="Q35" s="138"/>
      <c r="R35" s="54"/>
      <c r="S35" s="100"/>
      <c r="T35" s="100"/>
      <c r="U35" s="100"/>
      <c r="W35" s="134"/>
      <c r="X35" s="52"/>
      <c r="Y35" s="133"/>
      <c r="Z35" s="138"/>
      <c r="AA35" s="54"/>
      <c r="AB35" s="100"/>
      <c r="AC35" s="100"/>
      <c r="AD35" s="100"/>
      <c r="AF35" s="134"/>
      <c r="AG35" s="52"/>
      <c r="AH35" s="133"/>
      <c r="AI35" s="138"/>
      <c r="AJ35" s="54"/>
      <c r="AK35" s="100"/>
      <c r="AL35" s="100"/>
      <c r="AM35" s="135"/>
      <c r="AO35" s="134"/>
      <c r="AP35" s="52"/>
      <c r="AQ35" s="133"/>
      <c r="AR35" s="138"/>
      <c r="AS35" s="54"/>
      <c r="AT35" s="100"/>
      <c r="AU35" s="100"/>
      <c r="AV35" s="100"/>
      <c r="AX35" s="134"/>
      <c r="AY35" s="52"/>
      <c r="AZ35" s="133"/>
      <c r="BA35" s="138"/>
      <c r="BB35" s="54"/>
      <c r="BC35" s="100"/>
      <c r="BD35" s="100"/>
      <c r="BE35" s="100"/>
      <c r="BG35" s="134"/>
      <c r="BH35" s="52"/>
      <c r="BI35" s="133"/>
      <c r="BJ35" s="138"/>
      <c r="BK35" s="54"/>
      <c r="BL35" s="100"/>
      <c r="BM35" s="100"/>
      <c r="BN35" s="100"/>
      <c r="BP35" s="134"/>
      <c r="BQ35" s="52"/>
      <c r="BR35" s="133"/>
      <c r="BS35" s="138"/>
      <c r="BT35" s="54"/>
      <c r="BU35" s="100"/>
      <c r="BV35" s="100"/>
      <c r="BW35" s="100"/>
      <c r="BY35" s="134"/>
      <c r="BZ35" s="52"/>
      <c r="CA35" s="133"/>
      <c r="CB35" s="138"/>
      <c r="CC35" s="54"/>
      <c r="CD35" s="100"/>
      <c r="CE35" s="100"/>
      <c r="CF35" s="100"/>
      <c r="CH35" s="134"/>
      <c r="CI35" s="52"/>
      <c r="CJ35" s="133"/>
      <c r="CK35" s="138"/>
      <c r="CL35" s="54"/>
      <c r="CM35" s="100"/>
      <c r="CN35" s="100"/>
      <c r="CO35" s="100"/>
      <c r="CQ35" s="134"/>
      <c r="CR35" s="52"/>
    </row>
    <row r="36" spans="6:99" s="40" customFormat="1" ht="12.75" customHeight="1" outlineLevel="1" x14ac:dyDescent="0.25">
      <c r="F36" s="52"/>
      <c r="G36" s="316" t="s">
        <v>72</v>
      </c>
      <c r="H36" s="317"/>
      <c r="I36" s="137"/>
      <c r="J36" s="100"/>
      <c r="K36" s="100"/>
      <c r="L36" s="100"/>
      <c r="N36" s="197">
        <f>ROUND(SUM(M37:M49),0)</f>
        <v>0</v>
      </c>
      <c r="O36" s="52"/>
      <c r="P36" s="316" t="s">
        <v>72</v>
      </c>
      <c r="Q36" s="317"/>
      <c r="R36" s="137"/>
      <c r="S36" s="100"/>
      <c r="T36" s="100"/>
      <c r="U36" s="100"/>
      <c r="W36" s="197">
        <f>ROUND(SUM(V37:V49),0)</f>
        <v>0</v>
      </c>
      <c r="X36" s="52"/>
      <c r="Y36" s="316" t="s">
        <v>72</v>
      </c>
      <c r="Z36" s="317"/>
      <c r="AA36" s="137"/>
      <c r="AB36" s="100"/>
      <c r="AC36" s="100"/>
      <c r="AD36" s="100"/>
      <c r="AF36" s="197">
        <f>ROUND(SUM(AE37:AE49),0)</f>
        <v>0</v>
      </c>
      <c r="AG36" s="52"/>
      <c r="AH36" s="316" t="s">
        <v>72</v>
      </c>
      <c r="AI36" s="317"/>
      <c r="AJ36" s="137"/>
      <c r="AK36" s="100"/>
      <c r="AL36" s="100"/>
      <c r="AM36" s="135"/>
      <c r="AO36" s="197">
        <f>ROUND(SUM(AN37:AN49),0)</f>
        <v>0</v>
      </c>
      <c r="AP36" s="52"/>
      <c r="AQ36" s="316" t="s">
        <v>72</v>
      </c>
      <c r="AR36" s="317"/>
      <c r="AS36" s="137"/>
      <c r="AT36" s="100"/>
      <c r="AU36" s="100"/>
      <c r="AV36" s="100"/>
      <c r="AX36" s="197">
        <f>ROUND(SUM(AW37:AW49),0)</f>
        <v>0</v>
      </c>
      <c r="AY36" s="52"/>
      <c r="AZ36" s="316" t="s">
        <v>72</v>
      </c>
      <c r="BA36" s="317"/>
      <c r="BB36" s="137"/>
      <c r="BC36" s="100"/>
      <c r="BD36" s="100"/>
      <c r="BE36" s="100"/>
      <c r="BG36" s="197">
        <f>ROUND(SUM(BF37:BF49),0)</f>
        <v>0</v>
      </c>
      <c r="BH36" s="52"/>
      <c r="BI36" s="316" t="s">
        <v>72</v>
      </c>
      <c r="BJ36" s="317"/>
      <c r="BK36" s="137"/>
      <c r="BL36" s="100"/>
      <c r="BM36" s="100"/>
      <c r="BN36" s="100"/>
      <c r="BP36" s="197">
        <f>ROUND(SUM(BO37:BO49),0)</f>
        <v>0</v>
      </c>
      <c r="BQ36" s="52"/>
      <c r="BR36" s="316" t="s">
        <v>72</v>
      </c>
      <c r="BS36" s="317"/>
      <c r="BT36" s="137"/>
      <c r="BU36" s="100"/>
      <c r="BV36" s="100"/>
      <c r="BW36" s="100"/>
      <c r="BY36" s="197">
        <f>ROUND(SUM(BX37:BX49),0)</f>
        <v>0</v>
      </c>
      <c r="BZ36" s="52"/>
      <c r="CA36" s="316" t="s">
        <v>72</v>
      </c>
      <c r="CB36" s="317"/>
      <c r="CC36" s="137"/>
      <c r="CD36" s="100"/>
      <c r="CE36" s="100"/>
      <c r="CF36" s="100"/>
      <c r="CH36" s="197">
        <f>ROUND(SUM(CG37:CG49),0)</f>
        <v>0</v>
      </c>
      <c r="CI36" s="52"/>
      <c r="CJ36" s="316" t="s">
        <v>72</v>
      </c>
      <c r="CK36" s="317"/>
      <c r="CL36" s="137"/>
      <c r="CM36" s="100"/>
      <c r="CN36" s="100"/>
      <c r="CO36" s="100"/>
      <c r="CQ36" s="197">
        <f>ROUND(SUM(CP37:CP49),0)</f>
        <v>0</v>
      </c>
      <c r="CR36" s="52"/>
      <c r="CS36" s="227">
        <f>SUM(N36,W36,AF36,AO36,AX36,BG36,BP36,BY36,CH36,CQ36)</f>
        <v>0</v>
      </c>
      <c r="CT36" s="227"/>
      <c r="CU36" s="227" t="str">
        <f t="shared" ref="CU36:CU43" si="152">G36</f>
        <v>Other Direct Costs</v>
      </c>
    </row>
    <row r="37" spans="6:99" s="40" customFormat="1" ht="12.75" customHeight="1" outlineLevel="1" x14ac:dyDescent="0.2">
      <c r="F37" s="52"/>
      <c r="G37" s="311" t="s">
        <v>73</v>
      </c>
      <c r="H37" s="330"/>
      <c r="I37" s="139"/>
      <c r="J37" s="100"/>
      <c r="K37" s="100"/>
      <c r="L37" s="100"/>
      <c r="M37" s="198">
        <v>0</v>
      </c>
      <c r="N37" s="134"/>
      <c r="O37" s="52"/>
      <c r="P37" s="311" t="s">
        <v>73</v>
      </c>
      <c r="Q37" s="330"/>
      <c r="R37" s="139"/>
      <c r="S37" s="100"/>
      <c r="T37" s="100"/>
      <c r="U37" s="100"/>
      <c r="V37" s="198">
        <v>0</v>
      </c>
      <c r="W37" s="134"/>
      <c r="X37" s="52"/>
      <c r="Y37" s="311" t="s">
        <v>73</v>
      </c>
      <c r="Z37" s="330"/>
      <c r="AA37" s="139"/>
      <c r="AB37" s="100"/>
      <c r="AC37" s="100"/>
      <c r="AD37" s="100"/>
      <c r="AE37" s="198">
        <v>0</v>
      </c>
      <c r="AF37" s="134"/>
      <c r="AG37" s="52"/>
      <c r="AH37" s="311" t="s">
        <v>73</v>
      </c>
      <c r="AI37" s="330"/>
      <c r="AJ37" s="139"/>
      <c r="AK37" s="100"/>
      <c r="AL37" s="100"/>
      <c r="AM37" s="135"/>
      <c r="AN37" s="198">
        <v>0</v>
      </c>
      <c r="AO37" s="134"/>
      <c r="AP37" s="52"/>
      <c r="AQ37" s="311" t="s">
        <v>73</v>
      </c>
      <c r="AR37" s="330"/>
      <c r="AS37" s="139"/>
      <c r="AT37" s="100"/>
      <c r="AU37" s="100"/>
      <c r="AV37" s="100"/>
      <c r="AW37" s="198">
        <v>0</v>
      </c>
      <c r="AX37" s="134"/>
      <c r="AY37" s="52"/>
      <c r="AZ37" s="311" t="s">
        <v>73</v>
      </c>
      <c r="BA37" s="330"/>
      <c r="BB37" s="139"/>
      <c r="BC37" s="100"/>
      <c r="BD37" s="100"/>
      <c r="BE37" s="100"/>
      <c r="BF37" s="198">
        <v>0</v>
      </c>
      <c r="BG37" s="134"/>
      <c r="BH37" s="52"/>
      <c r="BI37" s="311" t="s">
        <v>73</v>
      </c>
      <c r="BJ37" s="330"/>
      <c r="BK37" s="139"/>
      <c r="BL37" s="100"/>
      <c r="BM37" s="100"/>
      <c r="BN37" s="100"/>
      <c r="BO37" s="198">
        <v>0</v>
      </c>
      <c r="BP37" s="134"/>
      <c r="BQ37" s="52"/>
      <c r="BR37" s="311" t="s">
        <v>73</v>
      </c>
      <c r="BS37" s="330"/>
      <c r="BT37" s="139"/>
      <c r="BU37" s="100"/>
      <c r="BV37" s="100"/>
      <c r="BW37" s="100"/>
      <c r="BX37" s="198">
        <v>0</v>
      </c>
      <c r="BY37" s="134"/>
      <c r="BZ37" s="52"/>
      <c r="CA37" s="311" t="s">
        <v>73</v>
      </c>
      <c r="CB37" s="330"/>
      <c r="CC37" s="139"/>
      <c r="CD37" s="100"/>
      <c r="CE37" s="100"/>
      <c r="CF37" s="100"/>
      <c r="CG37" s="198">
        <v>0</v>
      </c>
      <c r="CH37" s="134"/>
      <c r="CI37" s="52"/>
      <c r="CJ37" s="311" t="s">
        <v>73</v>
      </c>
      <c r="CK37" s="330"/>
      <c r="CL37" s="139"/>
      <c r="CM37" s="100"/>
      <c r="CN37" s="100"/>
      <c r="CO37" s="100"/>
      <c r="CP37" s="198">
        <v>0</v>
      </c>
      <c r="CQ37" s="134"/>
      <c r="CR37" s="52"/>
      <c r="CS37" s="95">
        <f>SUM(M37,V37,AE37,AN37,AW37,BF37,BO37,BX37,CG37,CP37)</f>
        <v>0</v>
      </c>
      <c r="CT37" s="95"/>
      <c r="CU37" s="43" t="str">
        <f t="shared" si="152"/>
        <v>Materials &amp; Supplies</v>
      </c>
    </row>
    <row r="38" spans="6:99" s="40" customFormat="1" ht="12.75" customHeight="1" outlineLevel="1" x14ac:dyDescent="0.2">
      <c r="F38" s="52"/>
      <c r="G38" s="311" t="s">
        <v>74</v>
      </c>
      <c r="H38" s="330"/>
      <c r="J38" s="100"/>
      <c r="K38" s="100"/>
      <c r="L38" s="100"/>
      <c r="M38" s="198">
        <v>0</v>
      </c>
      <c r="N38" s="134"/>
      <c r="O38" s="52"/>
      <c r="P38" s="311" t="s">
        <v>74</v>
      </c>
      <c r="Q38" s="330"/>
      <c r="S38" s="100"/>
      <c r="T38" s="100"/>
      <c r="U38" s="100"/>
      <c r="V38" s="198">
        <v>0</v>
      </c>
      <c r="W38" s="134"/>
      <c r="X38" s="52"/>
      <c r="Y38" s="311" t="s">
        <v>74</v>
      </c>
      <c r="Z38" s="330"/>
      <c r="AB38" s="100"/>
      <c r="AC38" s="100"/>
      <c r="AD38" s="100"/>
      <c r="AE38" s="198">
        <v>0</v>
      </c>
      <c r="AF38" s="134"/>
      <c r="AG38" s="52"/>
      <c r="AH38" s="311" t="s">
        <v>74</v>
      </c>
      <c r="AI38" s="330"/>
      <c r="AK38" s="100"/>
      <c r="AL38" s="100"/>
      <c r="AM38" s="135"/>
      <c r="AN38" s="198">
        <v>0</v>
      </c>
      <c r="AO38" s="134"/>
      <c r="AP38" s="52"/>
      <c r="AQ38" s="311" t="s">
        <v>74</v>
      </c>
      <c r="AR38" s="330"/>
      <c r="AT38" s="100"/>
      <c r="AU38" s="100"/>
      <c r="AV38" s="100"/>
      <c r="AW38" s="198">
        <v>0</v>
      </c>
      <c r="AX38" s="134"/>
      <c r="AY38" s="52"/>
      <c r="AZ38" s="311" t="s">
        <v>74</v>
      </c>
      <c r="BA38" s="330"/>
      <c r="BC38" s="100"/>
      <c r="BD38" s="100"/>
      <c r="BE38" s="100"/>
      <c r="BF38" s="198">
        <v>0</v>
      </c>
      <c r="BG38" s="134"/>
      <c r="BH38" s="52"/>
      <c r="BI38" s="311" t="s">
        <v>74</v>
      </c>
      <c r="BJ38" s="330"/>
      <c r="BL38" s="100"/>
      <c r="BM38" s="100"/>
      <c r="BN38" s="100"/>
      <c r="BO38" s="198">
        <v>0</v>
      </c>
      <c r="BP38" s="134"/>
      <c r="BQ38" s="52"/>
      <c r="BR38" s="311" t="s">
        <v>74</v>
      </c>
      <c r="BS38" s="330"/>
      <c r="BU38" s="100"/>
      <c r="BV38" s="100"/>
      <c r="BW38" s="100"/>
      <c r="BX38" s="198">
        <v>0</v>
      </c>
      <c r="BY38" s="134"/>
      <c r="BZ38" s="52"/>
      <c r="CA38" s="311" t="s">
        <v>74</v>
      </c>
      <c r="CB38" s="330"/>
      <c r="CD38" s="100"/>
      <c r="CE38" s="100"/>
      <c r="CF38" s="100"/>
      <c r="CG38" s="198">
        <v>0</v>
      </c>
      <c r="CH38" s="134"/>
      <c r="CI38" s="52"/>
      <c r="CJ38" s="311" t="s">
        <v>74</v>
      </c>
      <c r="CK38" s="330"/>
      <c r="CM38" s="100"/>
      <c r="CN38" s="100"/>
      <c r="CO38" s="100"/>
      <c r="CP38" s="198">
        <v>0</v>
      </c>
      <c r="CQ38" s="134"/>
      <c r="CR38" s="52"/>
      <c r="CS38" s="95">
        <f t="shared" ref="CS38:CS43" si="153">SUM(M38,V38,AE38,AN38,AW38,BF38,BO38,BX38,CG38,CP38)</f>
        <v>0</v>
      </c>
      <c r="CT38" s="95"/>
      <c r="CU38" s="43" t="str">
        <f t="shared" si="152"/>
        <v>Publications</v>
      </c>
    </row>
    <row r="39" spans="6:99" s="40" customFormat="1" ht="12.75" customHeight="1" outlineLevel="1" x14ac:dyDescent="0.2">
      <c r="F39" s="52"/>
      <c r="G39" s="311" t="s">
        <v>75</v>
      </c>
      <c r="H39" s="330"/>
      <c r="I39" s="139"/>
      <c r="J39" s="100"/>
      <c r="K39" s="100"/>
      <c r="L39" s="100"/>
      <c r="M39" s="198">
        <v>0</v>
      </c>
      <c r="N39" s="134"/>
      <c r="O39" s="52"/>
      <c r="P39" s="311" t="s">
        <v>75</v>
      </c>
      <c r="Q39" s="330"/>
      <c r="R39" s="139"/>
      <c r="S39" s="100"/>
      <c r="T39" s="100"/>
      <c r="U39" s="100"/>
      <c r="V39" s="198">
        <v>0</v>
      </c>
      <c r="W39" s="134"/>
      <c r="X39" s="52"/>
      <c r="Y39" s="311" t="s">
        <v>75</v>
      </c>
      <c r="Z39" s="330"/>
      <c r="AA39" s="139"/>
      <c r="AB39" s="100"/>
      <c r="AC39" s="100"/>
      <c r="AD39" s="100"/>
      <c r="AE39" s="198">
        <v>0</v>
      </c>
      <c r="AF39" s="134"/>
      <c r="AG39" s="52"/>
      <c r="AH39" s="311" t="s">
        <v>75</v>
      </c>
      <c r="AI39" s="330"/>
      <c r="AJ39" s="139"/>
      <c r="AK39" s="100"/>
      <c r="AL39" s="100"/>
      <c r="AM39" s="135"/>
      <c r="AN39" s="198">
        <v>0</v>
      </c>
      <c r="AO39" s="134"/>
      <c r="AP39" s="52"/>
      <c r="AQ39" s="311" t="s">
        <v>75</v>
      </c>
      <c r="AR39" s="330"/>
      <c r="AS39" s="139"/>
      <c r="AT39" s="100"/>
      <c r="AU39" s="100"/>
      <c r="AV39" s="100"/>
      <c r="AW39" s="198">
        <v>0</v>
      </c>
      <c r="AX39" s="134"/>
      <c r="AY39" s="52"/>
      <c r="AZ39" s="311" t="s">
        <v>75</v>
      </c>
      <c r="BA39" s="330"/>
      <c r="BB39" s="139"/>
      <c r="BC39" s="100"/>
      <c r="BD39" s="100"/>
      <c r="BE39" s="100"/>
      <c r="BF39" s="198">
        <v>0</v>
      </c>
      <c r="BG39" s="134"/>
      <c r="BH39" s="52"/>
      <c r="BI39" s="311" t="s">
        <v>75</v>
      </c>
      <c r="BJ39" s="330"/>
      <c r="BK39" s="139"/>
      <c r="BL39" s="100"/>
      <c r="BM39" s="100"/>
      <c r="BN39" s="100"/>
      <c r="BO39" s="198">
        <v>0</v>
      </c>
      <c r="BP39" s="134"/>
      <c r="BQ39" s="52"/>
      <c r="BR39" s="311" t="s">
        <v>75</v>
      </c>
      <c r="BS39" s="330"/>
      <c r="BT39" s="139"/>
      <c r="BU39" s="100"/>
      <c r="BV39" s="100"/>
      <c r="BW39" s="100"/>
      <c r="BX39" s="198">
        <v>0</v>
      </c>
      <c r="BY39" s="134"/>
      <c r="BZ39" s="52"/>
      <c r="CA39" s="311" t="s">
        <v>75</v>
      </c>
      <c r="CB39" s="330"/>
      <c r="CC39" s="139"/>
      <c r="CD39" s="100"/>
      <c r="CE39" s="100"/>
      <c r="CF39" s="100"/>
      <c r="CG39" s="198">
        <v>0</v>
      </c>
      <c r="CH39" s="134"/>
      <c r="CI39" s="52"/>
      <c r="CJ39" s="311" t="s">
        <v>75</v>
      </c>
      <c r="CK39" s="330"/>
      <c r="CL39" s="139"/>
      <c r="CM39" s="100"/>
      <c r="CN39" s="100"/>
      <c r="CO39" s="100"/>
      <c r="CP39" s="198">
        <v>0</v>
      </c>
      <c r="CQ39" s="134"/>
      <c r="CR39" s="52"/>
      <c r="CS39" s="95">
        <f t="shared" si="153"/>
        <v>0</v>
      </c>
      <c r="CT39" s="95"/>
      <c r="CU39" s="43" t="str">
        <f t="shared" si="152"/>
        <v>Honorarium/Consultant</v>
      </c>
    </row>
    <row r="40" spans="6:99" s="40" customFormat="1" ht="12.75" customHeight="1" outlineLevel="1" x14ac:dyDescent="0.2">
      <c r="F40" s="52"/>
      <c r="G40" s="311" t="s">
        <v>77</v>
      </c>
      <c r="H40" s="330"/>
      <c r="I40" s="139"/>
      <c r="J40" s="100"/>
      <c r="K40" s="100"/>
      <c r="L40" s="100"/>
      <c r="M40" s="198">
        <v>0</v>
      </c>
      <c r="N40" s="134"/>
      <c r="O40" s="52"/>
      <c r="P40" s="311" t="s">
        <v>77</v>
      </c>
      <c r="Q40" s="330"/>
      <c r="R40" s="139"/>
      <c r="S40" s="100"/>
      <c r="T40" s="100"/>
      <c r="U40" s="100"/>
      <c r="V40" s="198">
        <v>0</v>
      </c>
      <c r="W40" s="134"/>
      <c r="X40" s="52"/>
      <c r="Y40" s="311" t="s">
        <v>77</v>
      </c>
      <c r="Z40" s="330"/>
      <c r="AA40" s="139"/>
      <c r="AB40" s="100"/>
      <c r="AC40" s="100"/>
      <c r="AD40" s="100"/>
      <c r="AE40" s="198">
        <v>0</v>
      </c>
      <c r="AF40" s="134"/>
      <c r="AG40" s="52"/>
      <c r="AH40" s="311" t="s">
        <v>77</v>
      </c>
      <c r="AI40" s="330"/>
      <c r="AJ40" s="139"/>
      <c r="AK40" s="100"/>
      <c r="AL40" s="100"/>
      <c r="AM40" s="100"/>
      <c r="AN40" s="198">
        <v>0</v>
      </c>
      <c r="AO40" s="134"/>
      <c r="AP40" s="52"/>
      <c r="AQ40" s="311" t="s">
        <v>77</v>
      </c>
      <c r="AR40" s="330"/>
      <c r="AS40" s="139"/>
      <c r="AT40" s="100"/>
      <c r="AU40" s="100"/>
      <c r="AV40" s="100"/>
      <c r="AW40" s="198">
        <v>0</v>
      </c>
      <c r="AX40" s="134"/>
      <c r="AY40" s="52"/>
      <c r="AZ40" s="311" t="s">
        <v>77</v>
      </c>
      <c r="BA40" s="330"/>
      <c r="BB40" s="139"/>
      <c r="BC40" s="100"/>
      <c r="BD40" s="100"/>
      <c r="BE40" s="100"/>
      <c r="BF40" s="198">
        <v>0</v>
      </c>
      <c r="BG40" s="134"/>
      <c r="BH40" s="52"/>
      <c r="BI40" s="311" t="s">
        <v>77</v>
      </c>
      <c r="BJ40" s="330"/>
      <c r="BK40" s="139"/>
      <c r="BL40" s="100"/>
      <c r="BM40" s="100"/>
      <c r="BN40" s="100"/>
      <c r="BO40" s="198">
        <v>0</v>
      </c>
      <c r="BP40" s="134"/>
      <c r="BQ40" s="52"/>
      <c r="BR40" s="311" t="s">
        <v>77</v>
      </c>
      <c r="BS40" s="330"/>
      <c r="BT40" s="139"/>
      <c r="BU40" s="100"/>
      <c r="BV40" s="100"/>
      <c r="BW40" s="100"/>
      <c r="BX40" s="198">
        <v>0</v>
      </c>
      <c r="BY40" s="134"/>
      <c r="BZ40" s="52"/>
      <c r="CA40" s="311" t="s">
        <v>77</v>
      </c>
      <c r="CB40" s="330"/>
      <c r="CC40" s="139"/>
      <c r="CD40" s="100"/>
      <c r="CE40" s="100"/>
      <c r="CF40" s="100"/>
      <c r="CG40" s="198">
        <v>0</v>
      </c>
      <c r="CH40" s="134"/>
      <c r="CI40" s="52"/>
      <c r="CJ40" s="311" t="s">
        <v>77</v>
      </c>
      <c r="CK40" s="330"/>
      <c r="CL40" s="139"/>
      <c r="CM40" s="100"/>
      <c r="CN40" s="100"/>
      <c r="CO40" s="100"/>
      <c r="CP40" s="198">
        <v>0</v>
      </c>
      <c r="CQ40" s="134"/>
      <c r="CR40" s="52"/>
      <c r="CS40" s="95">
        <f t="shared" si="153"/>
        <v>0</v>
      </c>
      <c r="CT40" s="95"/>
      <c r="CU40" s="43" t="str">
        <f t="shared" si="152"/>
        <v>Computer Svcs</v>
      </c>
    </row>
    <row r="41" spans="6:99" s="40" customFormat="1" ht="12.75" customHeight="1" outlineLevel="1" x14ac:dyDescent="0.2">
      <c r="F41" s="52"/>
      <c r="G41" s="311" t="s">
        <v>79</v>
      </c>
      <c r="H41" s="330"/>
      <c r="I41" s="139"/>
      <c r="J41" s="100"/>
      <c r="K41" s="100"/>
      <c r="L41" s="100"/>
      <c r="M41" s="198">
        <v>0</v>
      </c>
      <c r="N41" s="134"/>
      <c r="O41" s="52"/>
      <c r="P41" s="311" t="s">
        <v>79</v>
      </c>
      <c r="Q41" s="330"/>
      <c r="R41" s="139"/>
      <c r="S41" s="100"/>
      <c r="T41" s="100"/>
      <c r="U41" s="100"/>
      <c r="V41" s="198">
        <v>0</v>
      </c>
      <c r="W41" s="134"/>
      <c r="X41" s="52"/>
      <c r="Y41" s="311" t="s">
        <v>79</v>
      </c>
      <c r="Z41" s="330"/>
      <c r="AA41" s="139"/>
      <c r="AB41" s="100"/>
      <c r="AC41" s="100"/>
      <c r="AD41" s="100"/>
      <c r="AE41" s="198">
        <v>0</v>
      </c>
      <c r="AF41" s="134"/>
      <c r="AG41" s="52"/>
      <c r="AH41" s="311" t="s">
        <v>79</v>
      </c>
      <c r="AI41" s="330"/>
      <c r="AJ41" s="139"/>
      <c r="AK41" s="100"/>
      <c r="AL41" s="100"/>
      <c r="AM41" s="100"/>
      <c r="AN41" s="198">
        <v>0</v>
      </c>
      <c r="AO41" s="134"/>
      <c r="AP41" s="52"/>
      <c r="AQ41" s="311" t="s">
        <v>79</v>
      </c>
      <c r="AR41" s="330"/>
      <c r="AS41" s="139"/>
      <c r="AT41" s="100"/>
      <c r="AU41" s="100"/>
      <c r="AV41" s="100"/>
      <c r="AW41" s="198">
        <v>0</v>
      </c>
      <c r="AX41" s="134"/>
      <c r="AY41" s="52"/>
      <c r="AZ41" s="311" t="s">
        <v>79</v>
      </c>
      <c r="BA41" s="330"/>
      <c r="BB41" s="139"/>
      <c r="BC41" s="100"/>
      <c r="BD41" s="100"/>
      <c r="BE41" s="100"/>
      <c r="BF41" s="198">
        <v>0</v>
      </c>
      <c r="BG41" s="134"/>
      <c r="BH41" s="52"/>
      <c r="BI41" s="311" t="s">
        <v>79</v>
      </c>
      <c r="BJ41" s="330"/>
      <c r="BK41" s="139"/>
      <c r="BL41" s="100"/>
      <c r="BM41" s="100"/>
      <c r="BN41" s="100"/>
      <c r="BO41" s="198">
        <v>0</v>
      </c>
      <c r="BP41" s="134"/>
      <c r="BQ41" s="52"/>
      <c r="BR41" s="311" t="s">
        <v>79</v>
      </c>
      <c r="BS41" s="330"/>
      <c r="BT41" s="139"/>
      <c r="BU41" s="100"/>
      <c r="BV41" s="100"/>
      <c r="BW41" s="100"/>
      <c r="BX41" s="198">
        <v>0</v>
      </c>
      <c r="BY41" s="134"/>
      <c r="BZ41" s="52"/>
      <c r="CA41" s="311" t="s">
        <v>79</v>
      </c>
      <c r="CB41" s="330"/>
      <c r="CC41" s="139"/>
      <c r="CD41" s="100"/>
      <c r="CE41" s="100"/>
      <c r="CF41" s="100"/>
      <c r="CG41" s="198">
        <v>0</v>
      </c>
      <c r="CH41" s="134"/>
      <c r="CI41" s="52"/>
      <c r="CJ41" s="311" t="s">
        <v>79</v>
      </c>
      <c r="CK41" s="330"/>
      <c r="CL41" s="139"/>
      <c r="CM41" s="100"/>
      <c r="CN41" s="100"/>
      <c r="CO41" s="100"/>
      <c r="CP41" s="198">
        <v>0</v>
      </c>
      <c r="CQ41" s="134"/>
      <c r="CR41" s="52"/>
      <c r="CS41" s="95">
        <f t="shared" si="153"/>
        <v>0</v>
      </c>
      <c r="CT41" s="95"/>
      <c r="CU41" s="43" t="str">
        <f t="shared" si="152"/>
        <v>Fixed Chgs/Svc Ctrs</v>
      </c>
    </row>
    <row r="42" spans="6:99" s="40" customFormat="1" ht="12.75" customHeight="1" outlineLevel="1" x14ac:dyDescent="0.2">
      <c r="F42" s="52"/>
      <c r="G42" s="311" t="s">
        <v>81</v>
      </c>
      <c r="H42" s="330"/>
      <c r="I42" s="139"/>
      <c r="J42" s="140"/>
      <c r="K42" s="140"/>
      <c r="L42" s="140"/>
      <c r="M42" s="198">
        <v>0</v>
      </c>
      <c r="N42" s="134"/>
      <c r="O42" s="52"/>
      <c r="P42" s="311" t="s">
        <v>81</v>
      </c>
      <c r="Q42" s="330"/>
      <c r="R42" s="139"/>
      <c r="S42" s="140"/>
      <c r="T42" s="140"/>
      <c r="U42" s="140"/>
      <c r="V42" s="198">
        <v>0</v>
      </c>
      <c r="W42" s="134"/>
      <c r="X42" s="52"/>
      <c r="Y42" s="311" t="s">
        <v>81</v>
      </c>
      <c r="Z42" s="330"/>
      <c r="AA42" s="139"/>
      <c r="AB42" s="140"/>
      <c r="AC42" s="140"/>
      <c r="AD42" s="140"/>
      <c r="AE42" s="198">
        <v>0</v>
      </c>
      <c r="AF42" s="134"/>
      <c r="AG42" s="52"/>
      <c r="AH42" s="311" t="s">
        <v>81</v>
      </c>
      <c r="AI42" s="330"/>
      <c r="AJ42" s="139"/>
      <c r="AK42" s="140"/>
      <c r="AL42" s="140"/>
      <c r="AM42" s="140"/>
      <c r="AN42" s="198">
        <v>0</v>
      </c>
      <c r="AO42" s="134"/>
      <c r="AP42" s="52"/>
      <c r="AQ42" s="311" t="s">
        <v>81</v>
      </c>
      <c r="AR42" s="330"/>
      <c r="AS42" s="139"/>
      <c r="AT42" s="140"/>
      <c r="AU42" s="140"/>
      <c r="AV42" s="140"/>
      <c r="AW42" s="198">
        <v>0</v>
      </c>
      <c r="AX42" s="134"/>
      <c r="AY42" s="52"/>
      <c r="AZ42" s="311" t="s">
        <v>81</v>
      </c>
      <c r="BA42" s="330"/>
      <c r="BB42" s="139"/>
      <c r="BC42" s="140"/>
      <c r="BD42" s="140"/>
      <c r="BE42" s="140"/>
      <c r="BF42" s="198">
        <v>0</v>
      </c>
      <c r="BG42" s="134"/>
      <c r="BH42" s="52"/>
      <c r="BI42" s="311" t="s">
        <v>81</v>
      </c>
      <c r="BJ42" s="330"/>
      <c r="BK42" s="139"/>
      <c r="BL42" s="140"/>
      <c r="BM42" s="140"/>
      <c r="BN42" s="140"/>
      <c r="BO42" s="198">
        <v>0</v>
      </c>
      <c r="BP42" s="134"/>
      <c r="BQ42" s="52"/>
      <c r="BR42" s="311" t="s">
        <v>81</v>
      </c>
      <c r="BS42" s="330"/>
      <c r="BT42" s="139"/>
      <c r="BU42" s="140"/>
      <c r="BV42" s="140"/>
      <c r="BW42" s="140"/>
      <c r="BX42" s="198">
        <v>0</v>
      </c>
      <c r="BY42" s="134"/>
      <c r="BZ42" s="52"/>
      <c r="CA42" s="311" t="s">
        <v>81</v>
      </c>
      <c r="CB42" s="330"/>
      <c r="CC42" s="139"/>
      <c r="CD42" s="140"/>
      <c r="CE42" s="140"/>
      <c r="CF42" s="140"/>
      <c r="CG42" s="198">
        <v>0</v>
      </c>
      <c r="CH42" s="134"/>
      <c r="CI42" s="52"/>
      <c r="CJ42" s="311" t="s">
        <v>81</v>
      </c>
      <c r="CK42" s="330"/>
      <c r="CL42" s="139"/>
      <c r="CM42" s="140"/>
      <c r="CN42" s="140"/>
      <c r="CO42" s="140"/>
      <c r="CP42" s="198">
        <v>0</v>
      </c>
      <c r="CQ42" s="134"/>
      <c r="CR42" s="52"/>
      <c r="CS42" s="95">
        <f t="shared" si="153"/>
        <v>0</v>
      </c>
      <c r="CT42" s="95"/>
      <c r="CU42" s="43" t="str">
        <f t="shared" si="152"/>
        <v>Current Services</v>
      </c>
    </row>
    <row r="43" spans="6:99" s="40" customFormat="1" ht="12.75" customHeight="1" outlineLevel="1" x14ac:dyDescent="0.25">
      <c r="F43" s="52"/>
      <c r="G43" s="311" t="s">
        <v>83</v>
      </c>
      <c r="H43" s="330"/>
      <c r="I43" s="139"/>
      <c r="J43" s="100"/>
      <c r="K43" s="100"/>
      <c r="L43" s="100"/>
      <c r="M43" s="198">
        <v>0</v>
      </c>
      <c r="N43" s="141"/>
      <c r="O43" s="52"/>
      <c r="P43" s="311" t="s">
        <v>83</v>
      </c>
      <c r="Q43" s="330"/>
      <c r="R43" s="139"/>
      <c r="S43" s="100"/>
      <c r="T43" s="100"/>
      <c r="U43" s="100"/>
      <c r="V43" s="198">
        <v>0</v>
      </c>
      <c r="W43" s="141"/>
      <c r="X43" s="52"/>
      <c r="Y43" s="311" t="s">
        <v>83</v>
      </c>
      <c r="Z43" s="330"/>
      <c r="AA43" s="139"/>
      <c r="AB43" s="100"/>
      <c r="AC43" s="100"/>
      <c r="AD43" s="100"/>
      <c r="AE43" s="198">
        <v>0</v>
      </c>
      <c r="AF43" s="141"/>
      <c r="AG43" s="52"/>
      <c r="AH43" s="311" t="s">
        <v>83</v>
      </c>
      <c r="AI43" s="330"/>
      <c r="AJ43" s="139"/>
      <c r="AK43" s="100"/>
      <c r="AL43" s="100"/>
      <c r="AM43" s="100"/>
      <c r="AN43" s="198">
        <v>0</v>
      </c>
      <c r="AO43" s="141"/>
      <c r="AP43" s="52"/>
      <c r="AQ43" s="311" t="s">
        <v>83</v>
      </c>
      <c r="AR43" s="330"/>
      <c r="AS43" s="139"/>
      <c r="AT43" s="100"/>
      <c r="AU43" s="100"/>
      <c r="AV43" s="100"/>
      <c r="AW43" s="198">
        <v>0</v>
      </c>
      <c r="AX43" s="141"/>
      <c r="AY43" s="52"/>
      <c r="AZ43" s="311" t="s">
        <v>83</v>
      </c>
      <c r="BA43" s="330"/>
      <c r="BB43" s="139"/>
      <c r="BC43" s="100"/>
      <c r="BD43" s="100"/>
      <c r="BE43" s="100"/>
      <c r="BF43" s="198">
        <v>0</v>
      </c>
      <c r="BG43" s="141"/>
      <c r="BH43" s="52"/>
      <c r="BI43" s="311" t="s">
        <v>83</v>
      </c>
      <c r="BJ43" s="330"/>
      <c r="BK43" s="139"/>
      <c r="BL43" s="100"/>
      <c r="BM43" s="100"/>
      <c r="BN43" s="100"/>
      <c r="BO43" s="198">
        <v>0</v>
      </c>
      <c r="BP43" s="141"/>
      <c r="BQ43" s="52"/>
      <c r="BR43" s="311" t="s">
        <v>83</v>
      </c>
      <c r="BS43" s="330"/>
      <c r="BT43" s="139"/>
      <c r="BU43" s="100"/>
      <c r="BV43" s="100"/>
      <c r="BW43" s="100"/>
      <c r="BX43" s="198">
        <v>0</v>
      </c>
      <c r="BY43" s="141"/>
      <c r="BZ43" s="52"/>
      <c r="CA43" s="311" t="s">
        <v>83</v>
      </c>
      <c r="CB43" s="330"/>
      <c r="CC43" s="139"/>
      <c r="CD43" s="100"/>
      <c r="CE43" s="100"/>
      <c r="CF43" s="100"/>
      <c r="CG43" s="198">
        <v>0</v>
      </c>
      <c r="CH43" s="141"/>
      <c r="CI43" s="52"/>
      <c r="CJ43" s="311" t="s">
        <v>83</v>
      </c>
      <c r="CK43" s="330"/>
      <c r="CL43" s="139"/>
      <c r="CM43" s="100"/>
      <c r="CN43" s="100"/>
      <c r="CO43" s="100"/>
      <c r="CP43" s="198">
        <v>0</v>
      </c>
      <c r="CQ43" s="141"/>
      <c r="CR43" s="52"/>
      <c r="CS43" s="95">
        <f t="shared" si="153"/>
        <v>0</v>
      </c>
      <c r="CT43" s="95"/>
      <c r="CU43" s="43" t="str">
        <f t="shared" si="152"/>
        <v>Human Subject Payments</v>
      </c>
    </row>
    <row r="44" spans="6:99" s="40" customFormat="1" ht="12.75" customHeight="1" outlineLevel="1" x14ac:dyDescent="0.25">
      <c r="F44" s="52"/>
      <c r="G44" s="93" t="s">
        <v>85</v>
      </c>
      <c r="H44" s="142"/>
      <c r="I44" s="139"/>
      <c r="J44" s="100"/>
      <c r="K44" s="100"/>
      <c r="L44" s="100"/>
      <c r="M44" s="199">
        <v>0</v>
      </c>
      <c r="N44" s="141"/>
      <c r="O44" s="52"/>
      <c r="P44" s="93" t="s">
        <v>85</v>
      </c>
      <c r="Q44" s="131"/>
      <c r="R44" s="139"/>
      <c r="S44" s="98"/>
      <c r="T44" s="100"/>
      <c r="U44" s="100"/>
      <c r="V44" s="198">
        <v>0</v>
      </c>
      <c r="W44" s="141"/>
      <c r="X44" s="52"/>
      <c r="Y44" s="93" t="s">
        <v>85</v>
      </c>
      <c r="Z44" s="131"/>
      <c r="AA44" s="139"/>
      <c r="AB44" s="100"/>
      <c r="AC44" s="100"/>
      <c r="AD44" s="100"/>
      <c r="AE44" s="198">
        <v>0</v>
      </c>
      <c r="AF44" s="141"/>
      <c r="AG44" s="52"/>
      <c r="AH44" s="93" t="s">
        <v>85</v>
      </c>
      <c r="AI44" s="131"/>
      <c r="AJ44" s="139"/>
      <c r="AK44" s="100"/>
      <c r="AL44" s="100"/>
      <c r="AM44" s="100"/>
      <c r="AN44" s="198">
        <v>0</v>
      </c>
      <c r="AO44" s="141"/>
      <c r="AP44" s="52"/>
      <c r="AQ44" s="93" t="s">
        <v>85</v>
      </c>
      <c r="AR44" s="131"/>
      <c r="AS44" s="139"/>
      <c r="AT44" s="100"/>
      <c r="AU44" s="100"/>
      <c r="AV44" s="100"/>
      <c r="AW44" s="198">
        <v>0</v>
      </c>
      <c r="AX44" s="141"/>
      <c r="AY44" s="52"/>
      <c r="AZ44" s="93" t="s">
        <v>85</v>
      </c>
      <c r="BA44" s="131"/>
      <c r="BB44" s="139"/>
      <c r="BC44" s="100"/>
      <c r="BD44" s="100"/>
      <c r="BE44" s="100"/>
      <c r="BF44" s="198">
        <v>0</v>
      </c>
      <c r="BG44" s="141"/>
      <c r="BH44" s="52"/>
      <c r="BI44" s="93" t="s">
        <v>85</v>
      </c>
      <c r="BJ44" s="131"/>
      <c r="BK44" s="139"/>
      <c r="BL44" s="100"/>
      <c r="BM44" s="100"/>
      <c r="BN44" s="100"/>
      <c r="BO44" s="198">
        <v>0</v>
      </c>
      <c r="BP44" s="141"/>
      <c r="BQ44" s="52"/>
      <c r="BR44" s="93" t="s">
        <v>85</v>
      </c>
      <c r="BS44" s="131"/>
      <c r="BT44" s="139"/>
      <c r="BU44" s="100"/>
      <c r="BV44" s="100"/>
      <c r="BW44" s="100"/>
      <c r="BX44" s="198">
        <v>0</v>
      </c>
      <c r="BY44" s="141"/>
      <c r="BZ44" s="52"/>
      <c r="CA44" s="93" t="s">
        <v>85</v>
      </c>
      <c r="CB44" s="131"/>
      <c r="CC44" s="139"/>
      <c r="CD44" s="100"/>
      <c r="CE44" s="100"/>
      <c r="CF44" s="100"/>
      <c r="CG44" s="198">
        <v>0</v>
      </c>
      <c r="CH44" s="141"/>
      <c r="CI44" s="52"/>
      <c r="CJ44" s="93" t="s">
        <v>85</v>
      </c>
      <c r="CK44" s="131"/>
      <c r="CL44" s="139"/>
      <c r="CM44" s="100"/>
      <c r="CN44" s="100"/>
      <c r="CO44" s="100"/>
      <c r="CP44" s="198">
        <v>0</v>
      </c>
      <c r="CQ44" s="141"/>
      <c r="CR44" s="52"/>
      <c r="CS44" s="95">
        <f>SUM(M44,V44,AE44,AN44,AW44,BF44,BO44,BX44,CG44,CP44)</f>
        <v>0</v>
      </c>
      <c r="CT44" s="95"/>
      <c r="CU44" s="43" t="str">
        <f>G44</f>
        <v>Other ODCs</v>
      </c>
    </row>
    <row r="45" spans="6:99" s="40" customFormat="1" ht="12.75" customHeight="1" x14ac:dyDescent="0.25">
      <c r="F45" s="52"/>
      <c r="G45" s="93"/>
      <c r="H45" s="143"/>
      <c r="I45" s="139"/>
      <c r="J45" s="98"/>
      <c r="K45" s="98"/>
      <c r="L45" s="98"/>
      <c r="M45" s="144"/>
      <c r="N45" s="145"/>
      <c r="O45" s="52"/>
      <c r="P45" s="162"/>
      <c r="Q45" s="127"/>
      <c r="R45" s="163"/>
      <c r="S45" s="98"/>
      <c r="T45" s="98"/>
      <c r="U45" s="98"/>
      <c r="V45" s="96"/>
      <c r="W45" s="164"/>
      <c r="X45" s="52"/>
      <c r="Y45" s="93"/>
      <c r="Z45" s="111"/>
      <c r="AA45" s="99"/>
      <c r="AB45" s="98"/>
      <c r="AC45" s="98"/>
      <c r="AD45" s="98"/>
      <c r="AE45" s="97"/>
      <c r="AF45" s="164"/>
      <c r="AG45" s="52"/>
      <c r="AH45" s="93"/>
      <c r="AI45" s="111"/>
      <c r="AJ45" s="99"/>
      <c r="AK45" s="98"/>
      <c r="AL45" s="98"/>
      <c r="AM45" s="98"/>
      <c r="AN45" s="97"/>
      <c r="AO45" s="164"/>
      <c r="AP45" s="52"/>
      <c r="AQ45" s="93"/>
      <c r="AR45" s="111"/>
      <c r="AS45" s="99"/>
      <c r="AT45" s="98"/>
      <c r="AU45" s="98"/>
      <c r="AV45" s="98"/>
      <c r="AW45" s="97"/>
      <c r="AX45" s="164"/>
      <c r="AY45" s="52"/>
      <c r="AZ45" s="93"/>
      <c r="BA45" s="111"/>
      <c r="BB45" s="99"/>
      <c r="BC45" s="98"/>
      <c r="BD45" s="98"/>
      <c r="BE45" s="98"/>
      <c r="BF45" s="97"/>
      <c r="BG45" s="164"/>
      <c r="BH45" s="52"/>
      <c r="BI45" s="93"/>
      <c r="BJ45" s="111"/>
      <c r="BK45" s="99"/>
      <c r="BL45" s="98"/>
      <c r="BM45" s="98"/>
      <c r="BN45" s="98"/>
      <c r="BO45" s="97"/>
      <c r="BP45" s="164"/>
      <c r="BQ45" s="52"/>
      <c r="BR45" s="93"/>
      <c r="BS45" s="111"/>
      <c r="BT45" s="99"/>
      <c r="BU45" s="98"/>
      <c r="BV45" s="98"/>
      <c r="BW45" s="98"/>
      <c r="BX45" s="97"/>
      <c r="BY45" s="164"/>
      <c r="BZ45" s="52"/>
      <c r="CA45" s="93"/>
      <c r="CB45" s="111"/>
      <c r="CC45" s="99"/>
      <c r="CD45" s="98"/>
      <c r="CE45" s="98"/>
      <c r="CF45" s="98"/>
      <c r="CG45" s="97"/>
      <c r="CH45" s="164"/>
      <c r="CI45" s="52"/>
      <c r="CJ45" s="93"/>
      <c r="CK45" s="111"/>
      <c r="CL45" s="99"/>
      <c r="CM45" s="98"/>
      <c r="CN45" s="98"/>
      <c r="CO45" s="98"/>
      <c r="CP45" s="97"/>
      <c r="CQ45" s="164"/>
      <c r="CR45" s="52"/>
      <c r="CS45" s="278"/>
      <c r="CT45" s="97"/>
      <c r="CU45" s="279"/>
    </row>
    <row r="46" spans="6:99" s="40" customFormat="1" ht="12.75" customHeight="1" outlineLevel="1" x14ac:dyDescent="0.2">
      <c r="F46" s="52"/>
      <c r="G46" s="146" t="s">
        <v>218</v>
      </c>
      <c r="H46" s="200">
        <v>0</v>
      </c>
      <c r="I46" s="208" t="s">
        <v>87</v>
      </c>
      <c r="J46" s="140"/>
      <c r="K46" s="140"/>
      <c r="L46" s="147"/>
      <c r="M46" s="148">
        <f>IF(H46=0, 0, ROUND(H46*(VLOOKUP(I46&amp;N46, Tuition!$A:$D, 4, FALSE)),0))</f>
        <v>0</v>
      </c>
      <c r="N46" s="207" t="s">
        <v>161</v>
      </c>
      <c r="O46" s="52"/>
      <c r="P46" s="146" t="s">
        <v>218</v>
      </c>
      <c r="Q46" s="220">
        <v>0</v>
      </c>
      <c r="R46" s="219" t="s">
        <v>87</v>
      </c>
      <c r="S46" s="140"/>
      <c r="T46" s="140"/>
      <c r="U46" s="147"/>
      <c r="V46" s="165">
        <f>IF(Q46=0, 0, ROUND(Q46*(VLOOKUP(R46&amp;W46, Tuition!$A:$D, 4, FALSE)),0))</f>
        <v>0</v>
      </c>
      <c r="W46" s="218" t="str">
        <f>IF(N46="FY23-24", "FY24-25", IF(N46="FY24-25", "FY25-26", IF(N46="FY25-26", "FY26-27", IF(N46="FY26-27", "FY27-28", IF(N46="FY27-28", "FY28-29", IF(N46="FY28-29", "FY29-30", IF(N46="FY29-30", "FY30-31", IF(N46="FY30-31", "FY31-32", IF(N46="FY31-32", "FY32-33", IF(N46="FY32-33", "FY33-34", IF(N46="FY33-34", "FY34-35", IF(N46="FY34-35", "FY35-36", IF(N46="FY35-36", "FY36-37", IF(N46="FY36-37", "FY37-38", IF(N46="FY37-38", "FY38-39", IF(N46="FY38-39", "FY39-40", IF(N46="FY39-40", "ERROR", "ERROR" )))))))))))))))))</f>
        <v>FY27-28</v>
      </c>
      <c r="X46" s="52"/>
      <c r="Y46" s="146" t="s">
        <v>218</v>
      </c>
      <c r="Z46" s="183">
        <v>0</v>
      </c>
      <c r="AA46" s="208" t="s">
        <v>87</v>
      </c>
      <c r="AB46" s="140"/>
      <c r="AC46" s="140"/>
      <c r="AD46" s="147"/>
      <c r="AE46" s="95">
        <f>IF(Z46=0, 0, ROUND(Z46*(VLOOKUP(AA46&amp;AF46, Tuition!$A:$D, 4, FALSE)),0))</f>
        <v>0</v>
      </c>
      <c r="AF46" s="171" t="str">
        <f>IF(W46="FY23-24", "FY24-25", IF(W46="FY24-25", "FY25-26", IF(W46="FY25-26", "FY26-27", IF(W46="FY26-27", "FY27-28", IF(W46="FY27-28", "FY28-29", IF(W46="FY28-29", "FY29-30", IF(W46="FY29-30", "FY30-31", IF(W46="FY30-31", "FY31-32", IF(W46="FY31-32", "FY32-33", IF(W46="FY32-33", "FY33-34", IF(W46="FY33-34", "FY34-35", IF(W46="FY34-35", "FY35-36", IF(W46="FY35-36", "FY36-37", IF(W46="FY36-37", "FY37-38", IF(W46="FY37-38", "FY38-39", IF(W46="FY38-39", "FY39-40", IF(W46="FY39-40", "ERROR", "ERROR" )))))))))))))))))</f>
        <v>FY28-29</v>
      </c>
      <c r="AG46" s="52"/>
      <c r="AH46" s="146" t="s">
        <v>218</v>
      </c>
      <c r="AI46" s="183">
        <v>0</v>
      </c>
      <c r="AJ46" s="208" t="s">
        <v>87</v>
      </c>
      <c r="AK46" s="140"/>
      <c r="AL46" s="140"/>
      <c r="AM46" s="147"/>
      <c r="AN46" s="95">
        <f>IF(AI46=0, 0, ROUND(AI46*(VLOOKUP(AJ46&amp;AO46, Tuition!$A:$D, 4, FALSE)),0))</f>
        <v>0</v>
      </c>
      <c r="AO46" s="171" t="str">
        <f>IF(AF46="FY23-24", "FY24-25", IF(AF46="FY24-25", "FY25-26", IF(AF46="FY25-26", "FY26-27", IF(AF46="FY26-27", "FY27-28", IF(AF46="FY27-28", "FY28-29", IF(AF46="FY28-29", "FY29-30", IF(AF46="FY29-30", "FY30-31", IF(AF46="FY30-31", "FY31-32", IF(AF46="FY31-32", "FY32-33", IF(AF46="FY32-33", "FY33-34", IF(AF46="FY33-34", "FY34-35", IF(AF46="FY34-35", "FY35-36", IF(AF46="FY35-36", "FY36-37", IF(AF46="FY36-37", "FY37-38", IF(AF46="FY37-38", "FY38-39", IF(AF46="FY38-39", "FY39-40", IF(AF46="FY39-40", "ERROR", "ERROR" )))))))))))))))))</f>
        <v>FY29-30</v>
      </c>
      <c r="AP46" s="52"/>
      <c r="AQ46" s="146" t="s">
        <v>218</v>
      </c>
      <c r="AR46" s="183">
        <v>0</v>
      </c>
      <c r="AS46" s="208" t="s">
        <v>87</v>
      </c>
      <c r="AT46" s="140"/>
      <c r="AU46" s="140"/>
      <c r="AV46" s="147"/>
      <c r="AW46" s="95">
        <f>IF(AR46=0, 0, ROUND(AR46*(VLOOKUP(AS46&amp;AX46, Tuition!$A:$D, 4, FALSE)),0))</f>
        <v>0</v>
      </c>
      <c r="AX46" s="171" t="str">
        <f>IF(AO46="FY23-24", "FY24-25", IF(AO46="FY24-25", "FY25-26", IF(AO46="FY25-26", "FY26-27", IF(AO46="FY26-27", "FY27-28", IF(AO46="FY27-28", "FY28-29", IF(AO46="FY28-29", "FY29-30", IF(AO46="FY29-30", "FY30-31", IF(AO46="FY30-31", "FY31-32", IF(AO46="FY31-32", "FY32-33", IF(AO46="FY32-33", "FY33-34", IF(AO46="FY33-34", "FY34-35", IF(AO46="FY34-35", "FY35-36", IF(AO46="FY35-36", "FY36-37", IF(AO46="FY36-37", "FY37-38", IF(AO46="FY37-38", "FY38-39", IF(AO46="FY38-39", "FY39-40", IF(AO46="FY39-40", "ERROR", "ERROR" )))))))))))))))))</f>
        <v>FY30-31</v>
      </c>
      <c r="AY46" s="52"/>
      <c r="AZ46" s="146" t="s">
        <v>218</v>
      </c>
      <c r="BA46" s="183">
        <v>0</v>
      </c>
      <c r="BB46" s="208" t="s">
        <v>87</v>
      </c>
      <c r="BC46" s="140"/>
      <c r="BD46" s="140"/>
      <c r="BE46" s="147"/>
      <c r="BF46" s="95">
        <f>IF(BA46=0, 0, ROUND(BA46*(VLOOKUP(BB46&amp;BG46, Tuition!$A:$D, 4, FALSE)),0))</f>
        <v>0</v>
      </c>
      <c r="BG46" s="171" t="str">
        <f>IF(AX46="FY23-24", "FY24-25", IF(AX46="FY24-25", "FY25-26", IF(AX46="FY25-26", "FY26-27", IF(AX46="FY26-27", "FY27-28", IF(AX46="FY27-28", "FY28-29", IF(AX46="FY28-29", "FY29-30", IF(AX46="FY29-30", "FY30-31", IF(AX46="FY30-31", "FY31-32", IF(AX46="FY31-32", "FY32-33", IF(AX46="FY32-33", "FY33-34", IF(AX46="FY33-34", "FY34-35", IF(AX46="FY34-35", "FY35-36", IF(AX46="FY35-36", "FY36-37", IF(AX46="FY36-37", "FY37-38", IF(AX46="FY37-38", "FY38-39", IF(AX46="FY38-39", "FY39-40", IF(AX46="FY39-40", "ERROR", "ERROR" )))))))))))))))))</f>
        <v>FY31-32</v>
      </c>
      <c r="BH46" s="52"/>
      <c r="BI46" s="146" t="s">
        <v>218</v>
      </c>
      <c r="BJ46" s="183">
        <v>0</v>
      </c>
      <c r="BK46" s="208" t="s">
        <v>87</v>
      </c>
      <c r="BL46" s="140"/>
      <c r="BM46" s="140"/>
      <c r="BN46" s="147"/>
      <c r="BO46" s="95">
        <f>IF(BJ46=0, 0, ROUND(BJ46*(VLOOKUP(BK46&amp;BP46, Tuition!$A:$D, 4, FALSE)),0))</f>
        <v>0</v>
      </c>
      <c r="BP46" s="171" t="str">
        <f>IF(BG46="FY23-24", "FY24-25", IF(BG46="FY24-25", "FY25-26", IF(BG46="FY25-26", "FY26-27", IF(BG46="FY26-27", "FY27-28", IF(BG46="FY27-28", "FY28-29", IF(BG46="FY28-29", "FY29-30", IF(BG46="FY29-30", "FY30-31", IF(BG46="FY30-31", "FY31-32", IF(BG46="FY31-32", "FY32-33", IF(BG46="FY32-33", "FY33-34", IF(BG46="FY33-34", "FY34-35", IF(BG46="FY34-35", "FY35-36", IF(BG46="FY35-36", "FY36-37", IF(BG46="FY36-37", "FY37-38", IF(BG46="FY37-38", "FY38-39", IF(BG46="FY38-39", "FY39-40", IF(BG46="FY39-40", "ERROR", "ERROR" )))))))))))))))))</f>
        <v>FY32-33</v>
      </c>
      <c r="BQ46" s="52"/>
      <c r="BR46" s="146" t="s">
        <v>218</v>
      </c>
      <c r="BS46" s="183">
        <v>0</v>
      </c>
      <c r="BT46" s="208" t="s">
        <v>87</v>
      </c>
      <c r="BU46" s="140"/>
      <c r="BV46" s="140"/>
      <c r="BW46" s="147"/>
      <c r="BX46" s="95">
        <f>IF(BS46=0, 0, ROUND(BS46*(VLOOKUP(BT46&amp;BY46, Tuition!$A:$D, 4, FALSE)),0))</f>
        <v>0</v>
      </c>
      <c r="BY46" s="171" t="str">
        <f>IF(BP46="FY23-24", "FY24-25", IF(BP46="FY24-25", "FY25-26", IF(BP46="FY25-26", "FY26-27", IF(BP46="FY26-27", "FY27-28", IF(BP46="FY27-28", "FY28-29", IF(BP46="FY28-29", "FY29-30", IF(BP46="FY29-30", "FY30-31", IF(BP46="FY30-31", "FY31-32", IF(BP46="FY31-32", "FY32-33", IF(BP46="FY32-33", "FY33-34", IF(BP46="FY33-34", "FY34-35", IF(BP46="FY34-35", "FY35-36", IF(BP46="FY35-36", "FY36-37", IF(BP46="FY36-37", "FY37-38", IF(BP46="FY37-38", "FY38-39", IF(BP46="FY38-39", "FY39-40", IF(BP46="FY39-40", "ERROR", "ERROR" )))))))))))))))))</f>
        <v>FY33-34</v>
      </c>
      <c r="BZ46" s="52"/>
      <c r="CA46" s="146" t="s">
        <v>218</v>
      </c>
      <c r="CB46" s="183">
        <v>0</v>
      </c>
      <c r="CC46" s="208" t="s">
        <v>87</v>
      </c>
      <c r="CD46" s="140"/>
      <c r="CE46" s="140"/>
      <c r="CF46" s="147"/>
      <c r="CG46" s="95">
        <f>IF(CB46=0, 0, ROUND(CB46*(VLOOKUP(CC46&amp;CH46, Tuition!$A:$D, 4, FALSE)),0))</f>
        <v>0</v>
      </c>
      <c r="CH46" s="171" t="str">
        <f>IF(BY46="FY23-24", "FY24-25", IF(BY46="FY24-25", "FY25-26", IF(BY46="FY25-26", "FY26-27", IF(BY46="FY26-27", "FY27-28", IF(BY46="FY27-28", "FY28-29", IF(BY46="FY28-29", "FY29-30", IF(BY46="FY29-30", "FY30-31", IF(BY46="FY30-31", "FY31-32", IF(BY46="FY31-32", "FY32-33", IF(BY46="FY32-33", "FY33-34", IF(BY46="FY33-34", "FY34-35", IF(BY46="FY34-35", "FY35-36", IF(BY46="FY35-36", "FY36-37", IF(BY46="FY36-37", "FY37-38", IF(BY46="FY37-38", "FY38-39", IF(BY46="FY38-39", "FY39-40", IF(BY46="FY39-40", "ERROR", "ERROR" )))))))))))))))))</f>
        <v>FY34-35</v>
      </c>
      <c r="CI46" s="52"/>
      <c r="CJ46" s="146" t="s">
        <v>218</v>
      </c>
      <c r="CK46" s="183">
        <v>0</v>
      </c>
      <c r="CL46" s="208" t="s">
        <v>87</v>
      </c>
      <c r="CM46" s="140"/>
      <c r="CN46" s="140"/>
      <c r="CO46" s="147"/>
      <c r="CP46" s="95">
        <f>IF(CK46=0, 0, ROUND(CK46*(VLOOKUP(CL46&amp;CQ46, Tuition!$A:$D, 4, FALSE)),0))</f>
        <v>0</v>
      </c>
      <c r="CQ46" s="171" t="str">
        <f>IF(CH46="FY23-24", "FY24-25", IF(CH46="FY24-25", "FY25-26", IF(CH46="FY25-26", "FY26-27", IF(CH46="FY26-27", "FY27-28", IF(CH46="FY27-28", "FY28-29", IF(CH46="FY28-29", "FY29-30", IF(CH46="FY29-30", "FY30-31", IF(CH46="FY30-31", "FY31-32", IF(CH46="FY31-32", "FY32-33", IF(CH46="FY32-33", "FY33-34", IF(CH46="FY33-34", "FY34-35", IF(CH46="FY34-35", "FY35-36", IF(CH46="FY35-36", "FY36-37", IF(CH46="FY36-37", "FY37-38", IF(CH46="FY37-38", "FY38-39", IF(CH46="FY38-39", "FY39-40", IF(CH46="FY39-40", "ERROR", "ERROR" )))))))))))))))))</f>
        <v>FY35-36</v>
      </c>
      <c r="CR46" s="52"/>
      <c r="CS46" s="95">
        <f>SUM(M46,V46,AE46,AN46,AW46,BF46,BO46,BX46,CG46,CP46)</f>
        <v>0</v>
      </c>
      <c r="CT46" s="95"/>
      <c r="CU46" s="43" t="str">
        <f>G46</f>
        <v>Tuition1: #semesters</v>
      </c>
    </row>
    <row r="47" spans="6:99" s="40" customFormat="1" ht="12.75" customHeight="1" outlineLevel="1" x14ac:dyDescent="0.2">
      <c r="F47" s="52"/>
      <c r="G47" s="264" t="s">
        <v>219</v>
      </c>
      <c r="H47" s="265">
        <v>0</v>
      </c>
      <c r="I47" s="266" t="s">
        <v>87</v>
      </c>
      <c r="J47" s="149"/>
      <c r="K47" s="94"/>
      <c r="L47" s="150"/>
      <c r="M47" s="148">
        <f>IF(H47=0, 0, ROUND(H47*(VLOOKUP(I47&amp;N47, Tuition!$A:$D, 4, FALSE)),0))</f>
        <v>0</v>
      </c>
      <c r="N47" s="270" t="s">
        <v>161</v>
      </c>
      <c r="O47" s="52"/>
      <c r="P47" s="267" t="s">
        <v>219</v>
      </c>
      <c r="Q47" s="220">
        <v>0</v>
      </c>
      <c r="R47" s="219" t="s">
        <v>87</v>
      </c>
      <c r="S47" s="94"/>
      <c r="T47" s="140"/>
      <c r="U47" s="147"/>
      <c r="V47" s="148">
        <f>IF(Q47=0, 0, ROUND(Q47*(VLOOKUP(R47&amp;W47, Tuition!$A:$D, 4, FALSE)),0))</f>
        <v>0</v>
      </c>
      <c r="W47" s="171" t="str">
        <f>IF(N47="FY23-24", "FY24-25", IF(N47="FY24-25", "FY25-26", IF(N47="FY25-26", "FY26-27", IF(N47="FY26-27", "FY27-28", IF(N47="FY27-28", "FY28-29", IF(N47="FY28-29", "FY29-30", IF(N47="FY29-30", "FY30-31", IF(N47="FY30-31", "FY31-32", IF(N47="FY31-32", "FY32-33", IF(N47="FY32-33", "FY33-34", IF(N47="FY33-34", "FY34-35", IF(N47="FY34-35", "FY35-36", IF(N47="FY35-36", "FY36-37", IF(N47="FY36-37", "FY37-38", IF(N47="FY37-38", "FY38-39", IF(N47="FY38-39", "FY39-40", IF(N47="FY39-40", "ERROR", "ERROR" )))))))))))))))))</f>
        <v>FY27-28</v>
      </c>
      <c r="X47" s="52"/>
      <c r="Y47" s="264" t="s">
        <v>219</v>
      </c>
      <c r="Z47" s="183">
        <v>0</v>
      </c>
      <c r="AA47" s="208" t="s">
        <v>87</v>
      </c>
      <c r="AB47" s="140"/>
      <c r="AC47" s="140"/>
      <c r="AD47" s="147"/>
      <c r="AE47" s="95">
        <f>IF(Z47=0, 0, ROUND(Z47*(VLOOKUP(AA47&amp;AF47, Tuition!$A:$D, 4, FALSE)),0))</f>
        <v>0</v>
      </c>
      <c r="AF47" s="171" t="str">
        <f>IF(W47="FY23-24", "FY24-25", IF(W47="FY24-25", "FY25-26", IF(W47="FY25-26", "FY26-27", IF(W47="FY26-27", "FY27-28", IF(W47="FY27-28", "FY28-29", IF(W47="FY28-29", "FY29-30", IF(W47="FY29-30", "FY30-31", IF(W47="FY30-31", "FY31-32", IF(W47="FY31-32", "FY32-33", IF(W47="FY32-33", "FY33-34", IF(W47="FY33-34", "FY34-35", IF(W47="FY34-35", "FY35-36", IF(W47="FY35-36", "FY36-37", IF(W47="FY36-37", "FY37-38", IF(W47="FY37-38", "FY38-39", IF(W47="FY38-39", "FY39-40", IF(W47="FY39-40", "ERROR", "ERROR" )))))))))))))))))</f>
        <v>FY28-29</v>
      </c>
      <c r="AG47" s="52"/>
      <c r="AH47" s="264" t="s">
        <v>219</v>
      </c>
      <c r="AI47" s="183">
        <v>0</v>
      </c>
      <c r="AJ47" s="208" t="s">
        <v>87</v>
      </c>
      <c r="AK47" s="140"/>
      <c r="AL47" s="140"/>
      <c r="AM47" s="147"/>
      <c r="AN47" s="95">
        <f>IF(AI47=0, 0, ROUND(AI47*(VLOOKUP(AJ47&amp;AO47, Tuition!$A:$D, 4, FALSE)),0))</f>
        <v>0</v>
      </c>
      <c r="AO47" s="171" t="str">
        <f>IF(AF47="FY23-24", "FY24-25", IF(AF47="FY24-25", "FY25-26", IF(AF47="FY25-26", "FY26-27", IF(AF47="FY26-27", "FY27-28", IF(AF47="FY27-28", "FY28-29", IF(AF47="FY28-29", "FY29-30", IF(AF47="FY29-30", "FY30-31", IF(AF47="FY30-31", "FY31-32", IF(AF47="FY31-32", "FY32-33", IF(AF47="FY32-33", "FY33-34", IF(AF47="FY33-34", "FY34-35", IF(AF47="FY34-35", "FY35-36", IF(AF47="FY35-36", "FY36-37", IF(AF47="FY36-37", "FY37-38", IF(AF47="FY37-38", "FY38-39", IF(AF47="FY38-39", "FY39-40", IF(AF47="FY39-40", "ERROR", "ERROR" )))))))))))))))))</f>
        <v>FY29-30</v>
      </c>
      <c r="AP47" s="52"/>
      <c r="AQ47" s="264" t="s">
        <v>219</v>
      </c>
      <c r="AR47" s="183">
        <v>0</v>
      </c>
      <c r="AS47" s="208" t="s">
        <v>87</v>
      </c>
      <c r="AT47" s="140"/>
      <c r="AU47" s="140"/>
      <c r="AV47" s="147"/>
      <c r="AW47" s="95">
        <f>IF(AR47=0, 0, ROUND(AR47*(VLOOKUP(AS47&amp;AX47, Tuition!$A:$D, 4, FALSE)),0))</f>
        <v>0</v>
      </c>
      <c r="AX47" s="171" t="str">
        <f>IF(AO47="FY23-24", "FY24-25", IF(AO47="FY24-25", "FY25-26", IF(AO47="FY25-26", "FY26-27", IF(AO47="FY26-27", "FY27-28", IF(AO47="FY27-28", "FY28-29", IF(AO47="FY28-29", "FY29-30", IF(AO47="FY29-30", "FY30-31", IF(AO47="FY30-31", "FY31-32", IF(AO47="FY31-32", "FY32-33", IF(AO47="FY32-33", "FY33-34", IF(AO47="FY33-34", "FY34-35", IF(AO47="FY34-35", "FY35-36", IF(AO47="FY35-36", "FY36-37", IF(AO47="FY36-37", "FY37-38", IF(AO47="FY37-38", "FY38-39", IF(AO47="FY38-39", "FY39-40", IF(AO47="FY39-40", "ERROR", "ERROR" )))))))))))))))))</f>
        <v>FY30-31</v>
      </c>
      <c r="AY47" s="52"/>
      <c r="AZ47" s="264" t="s">
        <v>219</v>
      </c>
      <c r="BA47" s="183">
        <v>0</v>
      </c>
      <c r="BB47" s="208" t="s">
        <v>87</v>
      </c>
      <c r="BC47" s="140"/>
      <c r="BD47" s="140"/>
      <c r="BE47" s="147"/>
      <c r="BF47" s="95">
        <f>IF(BA47=0, 0, ROUND(BA47*(VLOOKUP(BB47&amp;BG47, Tuition!$A:$D, 4, FALSE)),0))</f>
        <v>0</v>
      </c>
      <c r="BG47" s="171" t="str">
        <f>IF(AX47="FY23-24", "FY24-25", IF(AX47="FY24-25", "FY25-26", IF(AX47="FY25-26", "FY26-27", IF(AX47="FY26-27", "FY27-28", IF(AX47="FY27-28", "FY28-29", IF(AX47="FY28-29", "FY29-30", IF(AX47="FY29-30", "FY30-31", IF(AX47="FY30-31", "FY31-32", IF(AX47="FY31-32", "FY32-33", IF(AX47="FY32-33", "FY33-34", IF(AX47="FY33-34", "FY34-35", IF(AX47="FY34-35", "FY35-36", IF(AX47="FY35-36", "FY36-37", IF(AX47="FY36-37", "FY37-38", IF(AX47="FY37-38", "FY38-39", IF(AX47="FY38-39", "FY39-40", IF(AX47="FY39-40", "ERROR", "ERROR" )))))))))))))))))</f>
        <v>FY31-32</v>
      </c>
      <c r="BH47" s="52"/>
      <c r="BI47" s="264" t="s">
        <v>219</v>
      </c>
      <c r="BJ47" s="183">
        <v>0</v>
      </c>
      <c r="BK47" s="208" t="s">
        <v>87</v>
      </c>
      <c r="BL47" s="140"/>
      <c r="BM47" s="140"/>
      <c r="BN47" s="147"/>
      <c r="BO47" s="95">
        <f>IF(BJ47=0, 0, ROUND(BJ47*(VLOOKUP(BK47&amp;BP47, Tuition!$A:$D, 4, FALSE)),0))</f>
        <v>0</v>
      </c>
      <c r="BP47" s="171" t="str">
        <f>IF(BG47="FY23-24", "FY24-25", IF(BG47="FY24-25", "FY25-26", IF(BG47="FY25-26", "FY26-27", IF(BG47="FY26-27", "FY27-28", IF(BG47="FY27-28", "FY28-29", IF(BG47="FY28-29", "FY29-30", IF(BG47="FY29-30", "FY30-31", IF(BG47="FY30-31", "FY31-32", IF(BG47="FY31-32", "FY32-33", IF(BG47="FY32-33", "FY33-34", IF(BG47="FY33-34", "FY34-35", IF(BG47="FY34-35", "FY35-36", IF(BG47="FY35-36", "FY36-37", IF(BG47="FY36-37", "FY37-38", IF(BG47="FY37-38", "FY38-39", IF(BG47="FY38-39", "FY39-40", IF(BG47="FY39-40", "ERROR", "ERROR" )))))))))))))))))</f>
        <v>FY32-33</v>
      </c>
      <c r="BQ47" s="52"/>
      <c r="BR47" s="264" t="s">
        <v>219</v>
      </c>
      <c r="BS47" s="183">
        <v>0</v>
      </c>
      <c r="BT47" s="208" t="s">
        <v>87</v>
      </c>
      <c r="BU47" s="140"/>
      <c r="BV47" s="140"/>
      <c r="BW47" s="147"/>
      <c r="BX47" s="95">
        <f>IF(BS47=0, 0, ROUND(BS47*(VLOOKUP(BT47&amp;BY47, Tuition!$A:$D, 4, FALSE)),0))</f>
        <v>0</v>
      </c>
      <c r="BY47" s="171" t="str">
        <f>IF(BP47="FY23-24", "FY24-25", IF(BP47="FY24-25", "FY25-26", IF(BP47="FY25-26", "FY26-27", IF(BP47="FY26-27", "FY27-28", IF(BP47="FY27-28", "FY28-29", IF(BP47="FY28-29", "FY29-30", IF(BP47="FY29-30", "FY30-31", IF(BP47="FY30-31", "FY31-32", IF(BP47="FY31-32", "FY32-33", IF(BP47="FY32-33", "FY33-34", IF(BP47="FY33-34", "FY34-35", IF(BP47="FY34-35", "FY35-36", IF(BP47="FY35-36", "FY36-37", IF(BP47="FY36-37", "FY37-38", IF(BP47="FY37-38", "FY38-39", IF(BP47="FY38-39", "FY39-40", IF(BP47="FY39-40", "ERROR", "ERROR" )))))))))))))))))</f>
        <v>FY33-34</v>
      </c>
      <c r="BZ47" s="52"/>
      <c r="CA47" s="264" t="s">
        <v>219</v>
      </c>
      <c r="CB47" s="271">
        <v>0</v>
      </c>
      <c r="CC47" s="272" t="s">
        <v>87</v>
      </c>
      <c r="CD47" s="140"/>
      <c r="CE47" s="140"/>
      <c r="CF47" s="147"/>
      <c r="CG47" s="95">
        <f>IF(CB47=0, 0, ROUND(CB47*(VLOOKUP(CC47&amp;CH47, Tuition!$A:$D, 4, FALSE)),0))</f>
        <v>0</v>
      </c>
      <c r="CH47" s="171" t="str">
        <f>IF(BY47="FY23-24", "FY24-25", IF(BY47="FY24-25", "FY25-26", IF(BY47="FY25-26", "FY26-27", IF(BY47="FY26-27", "FY27-28", IF(BY47="FY27-28", "FY28-29", IF(BY47="FY28-29", "FY29-30", IF(BY47="FY29-30", "FY30-31", IF(BY47="FY30-31", "FY31-32", IF(BY47="FY31-32", "FY32-33", IF(BY47="FY32-33", "FY33-34", IF(BY47="FY33-34", "FY34-35", IF(BY47="FY34-35", "FY35-36", IF(BY47="FY35-36", "FY36-37", IF(BY47="FY36-37", "FY37-38", IF(BY47="FY37-38", "FY38-39", IF(BY47="FY38-39", "FY39-40", IF(BY47="FY39-40", "ERROR", "ERROR" )))))))))))))))))</f>
        <v>FY34-35</v>
      </c>
      <c r="CI47" s="52"/>
      <c r="CJ47" s="264" t="s">
        <v>219</v>
      </c>
      <c r="CK47" s="271">
        <v>0</v>
      </c>
      <c r="CL47" s="272" t="s">
        <v>87</v>
      </c>
      <c r="CM47" s="140"/>
      <c r="CN47" s="140"/>
      <c r="CO47" s="147"/>
      <c r="CP47" s="95">
        <f>IF(CK47=0, 0, ROUND(CK47*(VLOOKUP(CL47&amp;CQ47, Tuition!$A:$D, 4, FALSE)),0))</f>
        <v>0</v>
      </c>
      <c r="CQ47" s="171" t="str">
        <f>IF(CH47="FY23-24", "FY24-25", IF(CH47="FY24-25", "FY25-26", IF(CH47="FY25-26", "FY26-27", IF(CH47="FY26-27", "FY27-28", IF(CH47="FY27-28", "FY28-29", IF(CH47="FY28-29", "FY29-30", IF(CH47="FY29-30", "FY30-31", IF(CH47="FY30-31", "FY31-32", IF(CH47="FY31-32", "FY32-33", IF(CH47="FY32-33", "FY33-34", IF(CH47="FY33-34", "FY34-35", IF(CH47="FY34-35", "FY35-36", IF(CH47="FY35-36", "FY36-37", IF(CH47="FY36-37", "FY37-38", IF(CH47="FY37-38", "FY38-39", IF(CH47="FY38-39", "FY39-40", IF(CH47="FY39-40", "ERROR", "ERROR" )))))))))))))))))</f>
        <v>FY35-36</v>
      </c>
      <c r="CR47" s="52"/>
      <c r="CS47" s="95">
        <f>SUM(M47,V47,AE47,AN47,AW47,BF47,BO47,BX47,CG47,CP47)</f>
        <v>0</v>
      </c>
      <c r="CT47" s="95"/>
      <c r="CU47" s="43" t="str">
        <f>G47</f>
        <v>Tuition2: #semesters</v>
      </c>
    </row>
    <row r="48" spans="6:99" ht="15" customHeight="1" x14ac:dyDescent="0.25">
      <c r="F48" s="52"/>
      <c r="O48" s="52"/>
      <c r="X48" s="52"/>
      <c r="AG48" s="52"/>
      <c r="AP48" s="52"/>
      <c r="AY48" s="52"/>
      <c r="BH48" s="52"/>
      <c r="BQ48" s="52"/>
      <c r="BZ48" s="52"/>
      <c r="CI48" s="52"/>
      <c r="CR48" s="52"/>
      <c r="CT48" s="273"/>
      <c r="CU48" s="273"/>
    </row>
    <row r="49" spans="6:99" s="40" customFormat="1" ht="12.75" customHeight="1" outlineLevel="1" x14ac:dyDescent="0.2">
      <c r="F49" s="52"/>
      <c r="G49" s="261" t="s">
        <v>89</v>
      </c>
      <c r="H49" s="262"/>
      <c r="I49" s="263" t="s">
        <v>46</v>
      </c>
      <c r="J49" s="268" t="s">
        <v>90</v>
      </c>
      <c r="K49" s="268" t="s">
        <v>91</v>
      </c>
      <c r="L49" s="269"/>
      <c r="M49" s="201">
        <f>ROUND(SUM(I50:I52),0)</f>
        <v>0</v>
      </c>
      <c r="N49" s="75"/>
      <c r="O49" s="52"/>
      <c r="P49" s="211" t="s">
        <v>89</v>
      </c>
      <c r="Q49" s="212"/>
      <c r="R49" s="213" t="s">
        <v>46</v>
      </c>
      <c r="S49" s="214" t="s">
        <v>90</v>
      </c>
      <c r="T49" s="214" t="s">
        <v>91</v>
      </c>
      <c r="U49" s="214"/>
      <c r="V49" s="215">
        <f>ROUND(SUM(R50:R52),0)</f>
        <v>0</v>
      </c>
      <c r="W49" s="134"/>
      <c r="X49" s="52"/>
      <c r="Y49" s="211" t="s">
        <v>89</v>
      </c>
      <c r="Z49" s="195"/>
      <c r="AA49" s="221" t="s">
        <v>46</v>
      </c>
      <c r="AB49" s="222" t="s">
        <v>90</v>
      </c>
      <c r="AC49" s="223" t="s">
        <v>91</v>
      </c>
      <c r="AD49" s="214"/>
      <c r="AE49" s="224">
        <f>ROUND(SUM(AA50:AA52),0)</f>
        <v>0</v>
      </c>
      <c r="AF49" s="134"/>
      <c r="AG49" s="52"/>
      <c r="AH49" s="211" t="s">
        <v>89</v>
      </c>
      <c r="AI49" s="195"/>
      <c r="AJ49" s="221" t="s">
        <v>46</v>
      </c>
      <c r="AK49" s="222" t="s">
        <v>90</v>
      </c>
      <c r="AL49" s="223" t="s">
        <v>91</v>
      </c>
      <c r="AM49" s="214"/>
      <c r="AN49" s="224">
        <f>ROUND(SUM(AJ50:AJ52),0)</f>
        <v>0</v>
      </c>
      <c r="AO49" s="134"/>
      <c r="AP49" s="52"/>
      <c r="AQ49" s="211" t="s">
        <v>89</v>
      </c>
      <c r="AR49" s="195"/>
      <c r="AS49" s="221" t="s">
        <v>46</v>
      </c>
      <c r="AT49" s="222" t="s">
        <v>90</v>
      </c>
      <c r="AU49" s="223" t="s">
        <v>91</v>
      </c>
      <c r="AV49" s="214"/>
      <c r="AW49" s="224">
        <f>ROUND(SUM(AS50:AS52),0)</f>
        <v>0</v>
      </c>
      <c r="AX49" s="134"/>
      <c r="AY49" s="52"/>
      <c r="AZ49" s="211" t="s">
        <v>89</v>
      </c>
      <c r="BA49" s="195"/>
      <c r="BB49" s="221" t="s">
        <v>46</v>
      </c>
      <c r="BC49" s="222" t="s">
        <v>90</v>
      </c>
      <c r="BD49" s="223" t="s">
        <v>91</v>
      </c>
      <c r="BE49" s="214"/>
      <c r="BF49" s="224">
        <f>ROUND(SUM(BB50:BB52),0)</f>
        <v>0</v>
      </c>
      <c r="BG49" s="134"/>
      <c r="BH49" s="52"/>
      <c r="BI49" s="211" t="s">
        <v>89</v>
      </c>
      <c r="BJ49" s="195"/>
      <c r="BK49" s="221" t="s">
        <v>46</v>
      </c>
      <c r="BL49" s="222" t="s">
        <v>90</v>
      </c>
      <c r="BM49" s="223" t="s">
        <v>91</v>
      </c>
      <c r="BN49" s="214"/>
      <c r="BO49" s="224">
        <f>ROUND(SUM(BK50:BK52),0)</f>
        <v>0</v>
      </c>
      <c r="BP49" s="134"/>
      <c r="BQ49" s="52"/>
      <c r="BR49" s="211" t="s">
        <v>89</v>
      </c>
      <c r="BS49" s="195"/>
      <c r="BT49" s="221" t="s">
        <v>46</v>
      </c>
      <c r="BU49" s="222" t="s">
        <v>90</v>
      </c>
      <c r="BV49" s="223" t="s">
        <v>91</v>
      </c>
      <c r="BW49" s="214"/>
      <c r="BX49" s="224">
        <f>ROUND(SUM(BT50:BT52),0)</f>
        <v>0</v>
      </c>
      <c r="BY49" s="134"/>
      <c r="BZ49" s="52"/>
      <c r="CA49" s="211" t="s">
        <v>89</v>
      </c>
      <c r="CB49" s="195"/>
      <c r="CC49" s="221" t="s">
        <v>46</v>
      </c>
      <c r="CD49" s="222" t="s">
        <v>90</v>
      </c>
      <c r="CE49" s="223" t="s">
        <v>91</v>
      </c>
      <c r="CF49" s="214"/>
      <c r="CG49" s="224">
        <f>ROUND(SUM(CC50:CC52),0)</f>
        <v>0</v>
      </c>
      <c r="CH49" s="134"/>
      <c r="CI49" s="52"/>
      <c r="CJ49" s="211" t="s">
        <v>89</v>
      </c>
      <c r="CK49" s="195"/>
      <c r="CL49" s="221" t="s">
        <v>46</v>
      </c>
      <c r="CM49" s="222" t="s">
        <v>90</v>
      </c>
      <c r="CN49" s="223" t="s">
        <v>91</v>
      </c>
      <c r="CO49" s="214"/>
      <c r="CP49" s="224">
        <f>ROUND(SUM(CL50:CL52),0)</f>
        <v>0</v>
      </c>
      <c r="CQ49" s="134"/>
      <c r="CR49" s="52"/>
      <c r="CS49" s="95">
        <f>SUM(M49,V49,AE49,AN49,AW49,BF49,BO49,BX49,CG49,CP49)</f>
        <v>0</v>
      </c>
      <c r="CT49" s="95"/>
      <c r="CU49" s="43" t="str">
        <f t="shared" ref="CU49:CU52" si="154">G49</f>
        <v>Subawards</v>
      </c>
    </row>
    <row r="50" spans="6:99" s="40" customFormat="1" ht="12.75" customHeight="1" outlineLevel="1" x14ac:dyDescent="0.2">
      <c r="F50" s="52"/>
      <c r="G50" s="311" t="str">
        <f>'Non-Payroll Budget Planner'!AC9</f>
        <v>Institution - Site PI 1</v>
      </c>
      <c r="H50" s="312"/>
      <c r="I50" s="43">
        <f t="shared" ref="I50:I52" si="155">J50+K50</f>
        <v>0</v>
      </c>
      <c r="J50" s="184">
        <v>0</v>
      </c>
      <c r="K50" s="184">
        <v>0</v>
      </c>
      <c r="L50" s="43">
        <f>IF($I50&lt;=lists!$H$7,$I50,lists!$H$7)</f>
        <v>0</v>
      </c>
      <c r="M50" s="54"/>
      <c r="O50" s="52"/>
      <c r="P50" s="311" t="str">
        <f t="shared" ref="P50:P52" si="156">G50</f>
        <v>Institution - Site PI 1</v>
      </c>
      <c r="Q50" s="312"/>
      <c r="R50" s="166">
        <f t="shared" ref="R50:R52" si="157">S50+T50</f>
        <v>0</v>
      </c>
      <c r="S50" s="217">
        <v>0</v>
      </c>
      <c r="T50" s="217">
        <v>0</v>
      </c>
      <c r="U50" s="166">
        <f>IF(SUM($I50)&gt;=lists!$H$7,0,IF(R50&gt;=(lists!$H$7-SUM($I50)),(lists!$H$7-SUM($I50)),R50))</f>
        <v>0</v>
      </c>
      <c r="V50" s="75"/>
      <c r="W50" s="151"/>
      <c r="X50" s="52"/>
      <c r="Y50" s="311" t="str">
        <f t="shared" ref="Y50:Y52" si="158">P50</f>
        <v>Institution - Site PI 1</v>
      </c>
      <c r="Z50" s="312"/>
      <c r="AA50" s="43">
        <f t="shared" ref="AA50:AA52" si="159">AB50+AC50</f>
        <v>0</v>
      </c>
      <c r="AB50" s="184">
        <f>'Non-Payroll Budget Planner'!AD21</f>
        <v>0</v>
      </c>
      <c r="AC50" s="184">
        <v>0</v>
      </c>
      <c r="AD50" s="166">
        <f>IF(SUM($I50,$R50)&gt;=lists!$H$7,0,IF(AA50&gt;=(lists!$H$7-SUM($I50,$R50)),(lists!$H$7-SUM($I50,$R50)),AA50))</f>
        <v>0</v>
      </c>
      <c r="AE50" s="54"/>
      <c r="AF50" s="151"/>
      <c r="AG50" s="52"/>
      <c r="AH50" s="311" t="str">
        <f t="shared" ref="AH50:AH52" si="160">Y50</f>
        <v>Institution - Site PI 1</v>
      </c>
      <c r="AI50" s="312"/>
      <c r="AJ50" s="43">
        <f t="shared" ref="AJ50:AJ52" si="161">AK50+AL50</f>
        <v>0</v>
      </c>
      <c r="AK50" s="184">
        <f>'Non-Payroll Budget Planner'!AE21</f>
        <v>0</v>
      </c>
      <c r="AL50" s="184">
        <v>0</v>
      </c>
      <c r="AM50" s="166">
        <f>IF(SUM($I50,$R50,$AA50)&gt;=lists!$H$7,0,IF(AJ50&gt;=(lists!$H$7-SUM($I50,$R50,$AA50)),(lists!$H$7-SUM($I50,$R50,$AA50)),AJ50))</f>
        <v>0</v>
      </c>
      <c r="AN50" s="54"/>
      <c r="AO50" s="151"/>
      <c r="AP50" s="52"/>
      <c r="AQ50" s="311" t="str">
        <f t="shared" ref="AQ50:AQ52" si="162">AH50</f>
        <v>Institution - Site PI 1</v>
      </c>
      <c r="AR50" s="312"/>
      <c r="AS50" s="43">
        <f t="shared" ref="AS50:AS52" si="163">AT50+AU50</f>
        <v>0</v>
      </c>
      <c r="AT50" s="184">
        <f>'Non-Payroll Budget Planner'!AF21</f>
        <v>0</v>
      </c>
      <c r="AU50" s="184">
        <v>0</v>
      </c>
      <c r="AV50" s="166">
        <f>IF(SUM($I50,$R50,$AA50,$AJ50)&gt;=lists!$H$7,0,IF(AS50&gt;=(lists!$H$7-SUM($I50,$R50,$AA50,$AJ50)),(lists!$H$7-SUM($I50,$R50,$AA50,$AJ50)),AS50))</f>
        <v>0</v>
      </c>
      <c r="AW50" s="54"/>
      <c r="AX50" s="151"/>
      <c r="AY50" s="53"/>
      <c r="AZ50" s="311" t="str">
        <f t="shared" ref="AZ50:AZ52" si="164">AQ50</f>
        <v>Institution - Site PI 1</v>
      </c>
      <c r="BA50" s="312"/>
      <c r="BB50" s="43">
        <f>BC50+BD50</f>
        <v>0</v>
      </c>
      <c r="BC50" s="184">
        <f>'Non-Payroll Budget Planner'!AG21</f>
        <v>0</v>
      </c>
      <c r="BD50" s="184">
        <v>0</v>
      </c>
      <c r="BE50" s="166">
        <f>IF(SUM($I50,$R50,$AA50,$AJ50, $AS50)&gt;=lists!$H$7,0,IF(BB50&gt;=(lists!$H$7-SUM($I50,$R50,$AA50,$AJ50,$AS50)),(lists!$H$7-SUM($I50,$R50,$AA50,$AJ50,$AS50)),BB50))</f>
        <v>0</v>
      </c>
      <c r="BF50" s="54"/>
      <c r="BG50" s="151"/>
      <c r="BH50" s="52"/>
      <c r="BI50" s="311" t="str">
        <f t="shared" ref="BI50:BI52" si="165">AZ50</f>
        <v>Institution - Site PI 1</v>
      </c>
      <c r="BJ50" s="312"/>
      <c r="BK50" s="43">
        <f>BL50+BM50</f>
        <v>0</v>
      </c>
      <c r="BL50" s="184">
        <f>'Non-Payroll Budget Planner'!AH21</f>
        <v>0</v>
      </c>
      <c r="BM50" s="184">
        <v>0</v>
      </c>
      <c r="BN50" s="166">
        <f>IF(SUM($I50,$R50,$AA50,$AJ50, $AS50,$BB50)&gt;=lists!$H$7,0,IF(BK50&gt;=(lists!$H$7-SUM($I50,$R50,$AA50,$AJ50,$AS50,$BB50)),(lists!$H$7-SUM($I50,$R50,$AA50,$AJ50,$AS50,$BB50)),BK50))</f>
        <v>0</v>
      </c>
      <c r="BO50" s="54"/>
      <c r="BP50" s="151"/>
      <c r="BQ50" s="53"/>
      <c r="BR50" s="311" t="str">
        <f t="shared" ref="BR50:BR52" si="166">BI50</f>
        <v>Institution - Site PI 1</v>
      </c>
      <c r="BS50" s="312"/>
      <c r="BT50" s="43">
        <f>BU50+BV50</f>
        <v>0</v>
      </c>
      <c r="BU50" s="184">
        <f>'Non-Payroll Budget Planner'!AI21</f>
        <v>0</v>
      </c>
      <c r="BV50" s="184">
        <v>0</v>
      </c>
      <c r="BW50" s="166">
        <f>IF(SUM($I50,$R50,$AA50,$AJ50, $AS50,$BB50,$BK50)&gt;=lists!$H$7,0,IF(BT50&gt;=(lists!$H$7-SUM($I50,$R50,$AA50,$AJ50,$AS50,$BB50,$BK50)),(lists!$H$7-SUM($I50,$R50,$AA50,$AJ50,$AS50,$BB50,$BK50)),BT50))</f>
        <v>0</v>
      </c>
      <c r="BX50" s="54"/>
      <c r="BY50" s="151"/>
      <c r="BZ50" s="52"/>
      <c r="CA50" s="311" t="str">
        <f t="shared" ref="CA50:CA52" si="167">BR50</f>
        <v>Institution - Site PI 1</v>
      </c>
      <c r="CB50" s="312"/>
      <c r="CC50" s="43">
        <f>CD50+CE50</f>
        <v>0</v>
      </c>
      <c r="CD50" s="184">
        <f>'Non-Payroll Budget Planner'!AJ21</f>
        <v>0</v>
      </c>
      <c r="CE50" s="184">
        <v>0</v>
      </c>
      <c r="CF50" s="166">
        <f>IF(SUM($I50,$R50,$AA50,$AJ50, $AS50,$BB50,$BK50,$BT50)&gt;=lists!$H$7,0,IF(CC50&gt;=(lists!$H$7-SUM($I50,$R50,$AA50,$AJ50,$AS50,$BB50,$BK50,$BT50)),(lists!$H$7-SUM($I50,$R50,$AA50,$AJ50,$AS50,$BB50,$BK50,$BT50)),CC50))</f>
        <v>0</v>
      </c>
      <c r="CG50" s="54"/>
      <c r="CH50" s="151"/>
      <c r="CI50" s="52"/>
      <c r="CJ50" s="311" t="str">
        <f t="shared" ref="CJ50:CJ52" si="168">CA50</f>
        <v>Institution - Site PI 1</v>
      </c>
      <c r="CK50" s="312"/>
      <c r="CL50" s="43">
        <f>CM50+CN50</f>
        <v>0</v>
      </c>
      <c r="CM50" s="184">
        <f>'Non-Payroll Budget Planner'!AK21</f>
        <v>0</v>
      </c>
      <c r="CN50" s="184">
        <v>0</v>
      </c>
      <c r="CO50" s="166">
        <f>IF(SUM($I50,$R50,$AA50,$AJ50, $AS50,$BB50,$BK50,$BT50,$CC50)&gt;=lists!$H$7,0,IF(CL50&gt;=(lists!$H$7-SUM($I50,$R50,$AA50,$AJ50,$AS50,$BB50,$BK50,$BT50,$CC50)),(lists!$H$7-SUM($I50,$R50,$AA50,$AJ50,$AS50,$BB50,$BK50,$BT50,$CC50)),CL50))</f>
        <v>0</v>
      </c>
      <c r="CP50" s="54"/>
      <c r="CQ50" s="151"/>
      <c r="CR50" s="52"/>
      <c r="CS50" s="43">
        <f>SUM(I50,R50,AA50,AJ50,AS50,BB50,BK50,BT50,CC50,CL50)</f>
        <v>0</v>
      </c>
      <c r="CT50" s="43"/>
      <c r="CU50" s="110" t="str">
        <f t="shared" si="154"/>
        <v>Institution - Site PI 1</v>
      </c>
    </row>
    <row r="51" spans="6:99" s="54" customFormat="1" ht="12.75" customHeight="1" outlineLevel="1" x14ac:dyDescent="0.2">
      <c r="F51" s="52"/>
      <c r="G51" s="311" t="str">
        <f>'Non-Payroll Budget Planner'!AC28</f>
        <v>Institution - Site PI 2</v>
      </c>
      <c r="H51" s="312"/>
      <c r="I51" s="43">
        <f t="shared" si="155"/>
        <v>0</v>
      </c>
      <c r="J51" s="184">
        <v>0</v>
      </c>
      <c r="K51" s="184">
        <v>0</v>
      </c>
      <c r="L51" s="43">
        <f>IF($I51&lt;=lists!$H$7,$I51,lists!$H$7)</f>
        <v>0</v>
      </c>
      <c r="N51" s="151"/>
      <c r="O51" s="53"/>
      <c r="P51" s="311" t="str">
        <f t="shared" si="156"/>
        <v>Institution - Site PI 2</v>
      </c>
      <c r="Q51" s="312"/>
      <c r="R51" s="43">
        <f t="shared" si="157"/>
        <v>0</v>
      </c>
      <c r="S51" s="184">
        <v>0</v>
      </c>
      <c r="T51" s="184">
        <v>0</v>
      </c>
      <c r="U51" s="166">
        <f>IF(SUM($I51)&gt;=lists!$H$7,0,IF(R51&gt;=(lists!$H$7-SUM($I51)),(lists!$H$7-SUM($I51)),R51))</f>
        <v>0</v>
      </c>
      <c r="W51" s="151"/>
      <c r="X51" s="52"/>
      <c r="Y51" s="311" t="str">
        <f t="shared" si="158"/>
        <v>Institution - Site PI 2</v>
      </c>
      <c r="Z51" s="312"/>
      <c r="AA51" s="43">
        <f t="shared" si="159"/>
        <v>0</v>
      </c>
      <c r="AB51" s="184">
        <f>'Non-Payroll Budget Planner'!AD40</f>
        <v>0</v>
      </c>
      <c r="AC51" s="184">
        <v>0</v>
      </c>
      <c r="AD51" s="166">
        <f>IF(SUM($I51,$R51)&gt;=lists!$H$7,0,IF(AA51&gt;=(lists!$H$7-SUM($I51,$R51)),(lists!$H$7-SUM($I51,$R51)),AA51))</f>
        <v>0</v>
      </c>
      <c r="AF51" s="151"/>
      <c r="AG51" s="52"/>
      <c r="AH51" s="311" t="str">
        <f t="shared" si="160"/>
        <v>Institution - Site PI 2</v>
      </c>
      <c r="AI51" s="312"/>
      <c r="AJ51" s="43">
        <f t="shared" si="161"/>
        <v>0</v>
      </c>
      <c r="AK51" s="184">
        <f>'Non-Payroll Budget Planner'!AE40</f>
        <v>0</v>
      </c>
      <c r="AL51" s="184">
        <v>0</v>
      </c>
      <c r="AM51" s="166">
        <f>IF(SUM($I51,$R51,$AA51)&gt;=lists!$H$7,0,IF(AJ51&gt;=(lists!$H$7-SUM($I51,$R51,$AA51)),(lists!$H$7-SUM($I51,$R51,$AA51)),AJ51))</f>
        <v>0</v>
      </c>
      <c r="AO51" s="151"/>
      <c r="AP51" s="52"/>
      <c r="AQ51" s="311" t="str">
        <f t="shared" si="162"/>
        <v>Institution - Site PI 2</v>
      </c>
      <c r="AR51" s="312"/>
      <c r="AS51" s="43">
        <f t="shared" si="163"/>
        <v>0</v>
      </c>
      <c r="AT51" s="184">
        <f>'Non-Payroll Budget Planner'!AF40</f>
        <v>0</v>
      </c>
      <c r="AU51" s="184">
        <v>0</v>
      </c>
      <c r="AV51" s="166">
        <f>IF(SUM($I51,$R51,$AA51,$AJ51)&gt;=lists!$H$7,0,IF(AS51&gt;=(lists!$H$7-SUM($I51,$R51,$AA51,$AJ51)),(lists!$H$7-SUM($I51,$R51,$AA51,$AJ51)),AS51))</f>
        <v>0</v>
      </c>
      <c r="AX51" s="151"/>
      <c r="AY51" s="53"/>
      <c r="AZ51" s="311" t="str">
        <f t="shared" si="164"/>
        <v>Institution - Site PI 2</v>
      </c>
      <c r="BA51" s="312"/>
      <c r="BB51" s="43">
        <f t="shared" ref="BB51:BB52" si="169">BC51+BD51</f>
        <v>0</v>
      </c>
      <c r="BC51" s="184">
        <f>'Non-Payroll Budget Planner'!AG40</f>
        <v>0</v>
      </c>
      <c r="BD51" s="184">
        <v>0</v>
      </c>
      <c r="BE51" s="166">
        <f>IF(SUM($I51,$R51,$AA51,$AJ51, $AS51)&gt;=lists!$H$7,0,IF(BB51&gt;=(lists!$H$7-SUM($I51,$R51,$AA51,$AJ51,$AS51)),(lists!$H$7-SUM($I51,$R51,$AA51,$AJ51,$AS51)),BB51))</f>
        <v>0</v>
      </c>
      <c r="BG51" s="151"/>
      <c r="BH51" s="53"/>
      <c r="BI51" s="311" t="str">
        <f t="shared" si="165"/>
        <v>Institution - Site PI 2</v>
      </c>
      <c r="BJ51" s="312"/>
      <c r="BK51" s="43">
        <f t="shared" ref="BK51:BK52" si="170">BL51+BM51</f>
        <v>0</v>
      </c>
      <c r="BL51" s="184">
        <f>'Non-Payroll Budget Planner'!AH40</f>
        <v>0</v>
      </c>
      <c r="BM51" s="184">
        <v>0</v>
      </c>
      <c r="BN51" s="166">
        <f>IF(SUM($I51,$R51,$AA51,$AJ51, $AS51,$BB51)&gt;=lists!$H$7,0,IF(BK51&gt;=(lists!$H$7-SUM($I51,$R51,$AA51,$AJ51,$AS51,$BB51)),(lists!$H$7-SUM($I51,$R51,$AA51,$AJ51,$AS51,$BB51)),BK51))</f>
        <v>0</v>
      </c>
      <c r="BP51" s="151"/>
      <c r="BQ51" s="53"/>
      <c r="BR51" s="311" t="str">
        <f t="shared" si="166"/>
        <v>Institution - Site PI 2</v>
      </c>
      <c r="BS51" s="312"/>
      <c r="BT51" s="43">
        <f t="shared" ref="BT51:BT52" si="171">BU51+BV51</f>
        <v>0</v>
      </c>
      <c r="BU51" s="184">
        <f>'Non-Payroll Budget Planner'!AI40</f>
        <v>0</v>
      </c>
      <c r="BV51" s="184">
        <v>0</v>
      </c>
      <c r="BW51" s="166">
        <f>IF(SUM($I51,$R51,$AA51,$AJ51, $AS51,$BB51,$BK51)&gt;=lists!$H$7,0,IF(BT51&gt;=(lists!$H$7-SUM($I51,$R51,$AA51,$AJ51,$AS51,$BB51,$BK51)),(lists!$H$7-SUM($I51,$R51,$AA51,$AJ51,$AS51,$BB51,$BK51)),BT51))</f>
        <v>0</v>
      </c>
      <c r="BY51" s="151"/>
      <c r="BZ51" s="53"/>
      <c r="CA51" s="311" t="str">
        <f t="shared" si="167"/>
        <v>Institution - Site PI 2</v>
      </c>
      <c r="CB51" s="312"/>
      <c r="CC51" s="43">
        <f>CD51+CE51</f>
        <v>0</v>
      </c>
      <c r="CD51" s="184">
        <f>'Non-Payroll Budget Planner'!AJ40</f>
        <v>0</v>
      </c>
      <c r="CE51" s="184">
        <v>0</v>
      </c>
      <c r="CF51" s="166">
        <f>IF(SUM($I51,$R51,$AA51,$AJ51, $AS51,$BB51,$BK51,$BT51)&gt;=lists!$H$7,0,IF(CC51&gt;=(lists!$H$7-SUM($I51,$R51,$AA51,$AJ51,$AS51,$BB51,$BK51,$BT51)),(lists!$H$7-SUM($I51,$R51,$AA51,$AJ51,$AS51,$BB51,$BK51,$BT51)),CC51))</f>
        <v>0</v>
      </c>
      <c r="CH51" s="151"/>
      <c r="CI51" s="53"/>
      <c r="CJ51" s="311" t="str">
        <f t="shared" si="168"/>
        <v>Institution - Site PI 2</v>
      </c>
      <c r="CK51" s="312"/>
      <c r="CL51" s="43">
        <f t="shared" ref="CL51:CL52" si="172">CM51+CN51</f>
        <v>0</v>
      </c>
      <c r="CM51" s="184">
        <v>0</v>
      </c>
      <c r="CN51" s="184">
        <v>0</v>
      </c>
      <c r="CO51" s="166">
        <f>IF(SUM($I51,$R51,$AA51,$AJ51, $AS51,$BB51,$BK51,$BT51,$CC51)&gt;=lists!$H$7,0,IF(CL51&gt;=(lists!$H$7-SUM($I51,$R51,$AA51,$AJ51,$AS51,$BB51,$BK51,$BT51,$CC51)),(lists!$H$7-SUM($I51,$R51,$AA51,$AJ51,$AS51,$BB51,$BK51,$BT51,$CC51)),CL51))</f>
        <v>0</v>
      </c>
      <c r="CQ51" s="151"/>
      <c r="CR51" s="53"/>
      <c r="CS51" s="43">
        <f t="shared" ref="CS51:CS52" si="173">SUM(I51,R51,AA51,AJ51,AS51,BB51,BK51,BT51,CC51,CL51)</f>
        <v>0</v>
      </c>
      <c r="CT51" s="43"/>
      <c r="CU51" s="110" t="str">
        <f t="shared" si="154"/>
        <v>Institution - Site PI 2</v>
      </c>
    </row>
    <row r="52" spans="6:99" s="54" customFormat="1" ht="12.75" customHeight="1" outlineLevel="1" x14ac:dyDescent="0.2">
      <c r="F52" s="52"/>
      <c r="G52" s="311" t="str">
        <f>'Non-Payroll Budget Planner'!AC47</f>
        <v>Institution - Site PI 3</v>
      </c>
      <c r="H52" s="312"/>
      <c r="I52" s="43">
        <f t="shared" si="155"/>
        <v>0</v>
      </c>
      <c r="J52" s="184">
        <v>0</v>
      </c>
      <c r="K52" s="184">
        <v>0</v>
      </c>
      <c r="L52" s="43">
        <f>IF($I52&lt;=lists!$H$7,$I52,lists!$H$7)</f>
        <v>0</v>
      </c>
      <c r="N52" s="151"/>
      <c r="O52" s="53"/>
      <c r="P52" s="311" t="str">
        <f t="shared" si="156"/>
        <v>Institution - Site PI 3</v>
      </c>
      <c r="Q52" s="312"/>
      <c r="R52" s="43">
        <f t="shared" si="157"/>
        <v>0</v>
      </c>
      <c r="S52" s="184">
        <v>0</v>
      </c>
      <c r="T52" s="184">
        <v>0</v>
      </c>
      <c r="U52" s="166">
        <f>IF(SUM($I52)&gt;=lists!$H$7,0,IF(R52&gt;=(lists!$H$7-SUM($I52)),(lists!$H$7-SUM($I52)),R52))</f>
        <v>0</v>
      </c>
      <c r="W52" s="151"/>
      <c r="X52" s="52"/>
      <c r="Y52" s="311" t="str">
        <f t="shared" si="158"/>
        <v>Institution - Site PI 3</v>
      </c>
      <c r="Z52" s="312"/>
      <c r="AA52" s="43">
        <f t="shared" si="159"/>
        <v>0</v>
      </c>
      <c r="AB52" s="184">
        <f>'Non-Payroll Budget Planner'!AD59</f>
        <v>0</v>
      </c>
      <c r="AC52" s="184">
        <v>0</v>
      </c>
      <c r="AD52" s="166">
        <f>IF(SUM($I52,$R52)&gt;=lists!$H$7,0,IF(AA52&gt;=(lists!$H$7-SUM($I52,$R52)),(lists!$H$7-SUM($I52,$R52)),AA52))</f>
        <v>0</v>
      </c>
      <c r="AF52" s="151"/>
      <c r="AG52" s="52"/>
      <c r="AH52" s="311" t="str">
        <f t="shared" si="160"/>
        <v>Institution - Site PI 3</v>
      </c>
      <c r="AI52" s="312"/>
      <c r="AJ52" s="43">
        <f t="shared" si="161"/>
        <v>0</v>
      </c>
      <c r="AK52" s="184">
        <f>'Non-Payroll Budget Planner'!AE59</f>
        <v>0</v>
      </c>
      <c r="AL52" s="184">
        <v>0</v>
      </c>
      <c r="AM52" s="166">
        <f>IF(SUM($I52,$R52,$AA52)&gt;=lists!$H$7,0,IF(AJ52&gt;=(lists!$H$7-SUM($I52,$R52,$AA52)),(lists!$H$7-SUM($I52,$R52,$AA52)),AJ52))</f>
        <v>0</v>
      </c>
      <c r="AO52" s="151"/>
      <c r="AP52" s="52"/>
      <c r="AQ52" s="311" t="str">
        <f t="shared" si="162"/>
        <v>Institution - Site PI 3</v>
      </c>
      <c r="AR52" s="312"/>
      <c r="AS52" s="43">
        <f t="shared" si="163"/>
        <v>0</v>
      </c>
      <c r="AT52" s="184">
        <f>'Non-Payroll Budget Planner'!AF59</f>
        <v>0</v>
      </c>
      <c r="AU52" s="184">
        <v>0</v>
      </c>
      <c r="AV52" s="166">
        <f>IF(SUM($I52,$R52,$AA52,$AJ52)&gt;=lists!$H$7,0,IF(AS52&gt;=(lists!$H$7-SUM($I52,$R52,$AA52,$AJ52)),(lists!$H$7-SUM($I52,$R52,$AA52,$AJ52)),AS52))</f>
        <v>0</v>
      </c>
      <c r="AX52" s="151"/>
      <c r="AY52" s="53"/>
      <c r="AZ52" s="311" t="str">
        <f t="shared" si="164"/>
        <v>Institution - Site PI 3</v>
      </c>
      <c r="BA52" s="312"/>
      <c r="BB52" s="43">
        <f t="shared" si="169"/>
        <v>0</v>
      </c>
      <c r="BC52" s="184">
        <f>'Non-Payroll Budget Planner'!AG59</f>
        <v>0</v>
      </c>
      <c r="BD52" s="184">
        <v>0</v>
      </c>
      <c r="BE52" s="166">
        <f>IF(SUM($I52,$R52,$AA52,$AJ52, $AS52)&gt;=lists!$H$7,0,IF(BB52&gt;=(lists!$H$7-SUM($I52,$R52,$AA52,$AJ52,$AS52)),(lists!$H$7-SUM($I52,$R52,$AA52,$AJ52,$AS52)),BB52))</f>
        <v>0</v>
      </c>
      <c r="BG52" s="151"/>
      <c r="BH52" s="53"/>
      <c r="BI52" s="311" t="str">
        <f t="shared" si="165"/>
        <v>Institution - Site PI 3</v>
      </c>
      <c r="BJ52" s="312"/>
      <c r="BK52" s="43">
        <f t="shared" si="170"/>
        <v>0</v>
      </c>
      <c r="BL52" s="184">
        <f>'Non-Payroll Budget Planner'!AH59</f>
        <v>0</v>
      </c>
      <c r="BM52" s="184">
        <v>0</v>
      </c>
      <c r="BN52" s="166">
        <f>IF(SUM($I52,$R52,$AA52,$AJ52, $AS52,$BB52)&gt;=lists!$H$7,0,IF(BK52&gt;=(lists!$H$7-SUM($I52,$R52,$AA52,$AJ52,$AS52,$BB52)),(lists!$H$7-SUM($I52,$R52,$AA52,$AJ52,$AS52,$BB52)),BK52))</f>
        <v>0</v>
      </c>
      <c r="BP52" s="151"/>
      <c r="BQ52" s="53"/>
      <c r="BR52" s="311" t="str">
        <f t="shared" si="166"/>
        <v>Institution - Site PI 3</v>
      </c>
      <c r="BS52" s="312"/>
      <c r="BT52" s="43">
        <f t="shared" si="171"/>
        <v>0</v>
      </c>
      <c r="BU52" s="184">
        <f>'Non-Payroll Budget Planner'!AI59</f>
        <v>0</v>
      </c>
      <c r="BV52" s="184">
        <v>0</v>
      </c>
      <c r="BW52" s="166">
        <f>IF(SUM($I52,$R52,$AA52,$AJ52, $AS52,$BB52,$BK52)&gt;=lists!$H$7,0,IF(BT52&gt;=(lists!$H$7-SUM($I52,$R52,$AA52,$AJ52,$AS52,$BB52,$BK52)),(lists!$H$7-SUM($I52,$R52,$AA52,$AJ52,$AS52,$BB52,$BK52)),BT52))</f>
        <v>0</v>
      </c>
      <c r="BY52" s="151"/>
      <c r="BZ52" s="53"/>
      <c r="CA52" s="311" t="str">
        <f t="shared" si="167"/>
        <v>Institution - Site PI 3</v>
      </c>
      <c r="CB52" s="312"/>
      <c r="CC52" s="43">
        <f>CD52+CE52</f>
        <v>0</v>
      </c>
      <c r="CD52" s="184">
        <f>'Non-Payroll Budget Planner'!AJ59</f>
        <v>0</v>
      </c>
      <c r="CE52" s="184">
        <v>0</v>
      </c>
      <c r="CF52" s="166">
        <f>IF(SUM($I52,$R52,$AA52,$AJ52, $AS52,$BB52,$BK52,$BT52)&gt;=lists!$H$7,0,IF(CC52&gt;=(lists!$H$7-SUM($I52,$R52,$AA52,$AJ52,$AS52,$BB52,$BK52,$BT52)),(lists!$H$7-SUM($I52,$R52,$AA52,$AJ52,$AS52,$BB52,$BK52,$BT52)),CC52))</f>
        <v>0</v>
      </c>
      <c r="CH52" s="151"/>
      <c r="CI52" s="53"/>
      <c r="CJ52" s="311" t="str">
        <f t="shared" si="168"/>
        <v>Institution - Site PI 3</v>
      </c>
      <c r="CK52" s="312"/>
      <c r="CL52" s="43">
        <f t="shared" si="172"/>
        <v>0</v>
      </c>
      <c r="CM52" s="184">
        <v>0</v>
      </c>
      <c r="CN52" s="184">
        <v>0</v>
      </c>
      <c r="CO52" s="166">
        <f>IF(SUM($I52,$R52,$AA52,$AJ52, $AS52,$BB52,$BK52,$BT52,$CC52)&gt;=lists!$H$7,0,IF(CL52&gt;=(lists!$H$7-SUM($I52,$R52,$AA52,$AJ52,$AS52,$BB52,$BK52,$BT52,$CC52)),(lists!$H$7-SUM($I52,$R52,$AA52,$AJ52,$AS52,$BB52,$BK52,$BT52,$CC52)),CL52))</f>
        <v>0</v>
      </c>
      <c r="CQ52" s="151"/>
      <c r="CR52" s="53"/>
      <c r="CS52" s="43">
        <f t="shared" si="173"/>
        <v>0</v>
      </c>
      <c r="CT52" s="43"/>
      <c r="CU52" s="110" t="str">
        <f t="shared" si="154"/>
        <v>Institution - Site PI 3</v>
      </c>
    </row>
    <row r="53" spans="6:99" s="54" customFormat="1" ht="12.75" customHeight="1" x14ac:dyDescent="0.2">
      <c r="F53" s="52"/>
      <c r="G53" s="152"/>
      <c r="H53" s="75"/>
      <c r="I53" s="153"/>
      <c r="J53" s="153"/>
      <c r="K53" s="153"/>
      <c r="L53" s="153"/>
      <c r="N53" s="151"/>
      <c r="O53" s="53"/>
      <c r="P53" s="152"/>
      <c r="Q53" s="75"/>
      <c r="R53" s="153"/>
      <c r="S53" s="153"/>
      <c r="T53" s="153"/>
      <c r="U53" s="153"/>
      <c r="W53" s="151"/>
      <c r="X53" s="52"/>
      <c r="Y53" s="152"/>
      <c r="Z53" s="169"/>
      <c r="AA53" s="153"/>
      <c r="AB53" s="153"/>
      <c r="AC53" s="153"/>
      <c r="AD53" s="153"/>
      <c r="AF53" s="151"/>
      <c r="AG53" s="52"/>
      <c r="AH53" s="152"/>
      <c r="AI53" s="169"/>
      <c r="AJ53" s="153"/>
      <c r="AK53" s="153"/>
      <c r="AL53" s="153"/>
      <c r="AM53" s="153"/>
      <c r="AO53" s="151"/>
      <c r="AP53" s="52"/>
      <c r="AQ53" s="152"/>
      <c r="AR53" s="75"/>
      <c r="AS53" s="153"/>
      <c r="AT53" s="153"/>
      <c r="AU53" s="153"/>
      <c r="AV53" s="153"/>
      <c r="AX53" s="151"/>
      <c r="AY53" s="53"/>
      <c r="AZ53" s="152"/>
      <c r="BA53" s="75"/>
      <c r="BB53" s="153"/>
      <c r="BC53" s="153"/>
      <c r="BD53" s="153"/>
      <c r="BE53" s="153"/>
      <c r="BG53" s="151"/>
      <c r="BH53" s="53"/>
      <c r="BI53" s="152"/>
      <c r="BJ53" s="75"/>
      <c r="BK53" s="153"/>
      <c r="BL53" s="153"/>
      <c r="BM53" s="153"/>
      <c r="BN53" s="153"/>
      <c r="BP53" s="151"/>
      <c r="BQ53" s="53"/>
      <c r="BR53" s="152"/>
      <c r="BS53" s="75"/>
      <c r="BT53" s="153"/>
      <c r="BU53" s="153"/>
      <c r="BV53" s="153"/>
      <c r="BW53" s="153"/>
      <c r="BY53" s="151"/>
      <c r="BZ53" s="53"/>
      <c r="CA53" s="152"/>
      <c r="CB53" s="75"/>
      <c r="CC53" s="153"/>
      <c r="CD53" s="153"/>
      <c r="CE53" s="153"/>
      <c r="CF53" s="153"/>
      <c r="CH53" s="151"/>
      <c r="CI53" s="53"/>
      <c r="CJ53" s="152"/>
      <c r="CK53" s="75"/>
      <c r="CL53" s="153"/>
      <c r="CM53" s="153"/>
      <c r="CN53" s="153"/>
      <c r="CO53" s="153"/>
      <c r="CQ53" s="151"/>
      <c r="CR53" s="53"/>
      <c r="CS53" s="276"/>
      <c r="CT53" s="277"/>
      <c r="CU53" s="75"/>
    </row>
    <row r="54" spans="6:99" s="40" customFormat="1" ht="12.75" customHeight="1" x14ac:dyDescent="0.25">
      <c r="F54" s="52"/>
      <c r="G54" s="202" t="s">
        <v>92</v>
      </c>
      <c r="H54" s="38"/>
      <c r="J54" s="147"/>
      <c r="K54" s="147"/>
      <c r="L54" s="147"/>
      <c r="N54" s="197">
        <f>SUM(N19,N22,N26,N30,N36)</f>
        <v>0</v>
      </c>
      <c r="O54" s="52"/>
      <c r="P54" s="216" t="s">
        <v>92</v>
      </c>
      <c r="Q54" s="38"/>
      <c r="S54" s="147"/>
      <c r="T54" s="147"/>
      <c r="U54" s="147"/>
      <c r="W54" s="197">
        <f>SUM(W19,W22,W26,W30,W36)</f>
        <v>0</v>
      </c>
      <c r="X54" s="52"/>
      <c r="Y54" s="202" t="s">
        <v>92</v>
      </c>
      <c r="Z54" s="38"/>
      <c r="AA54" s="38"/>
      <c r="AB54" s="147"/>
      <c r="AC54" s="147"/>
      <c r="AD54" s="147"/>
      <c r="AF54" s="197">
        <f>SUM(AF19,AF22,AF26,AF30,AF36)</f>
        <v>0</v>
      </c>
      <c r="AG54" s="52"/>
      <c r="AH54" s="202" t="s">
        <v>92</v>
      </c>
      <c r="AI54" s="38"/>
      <c r="AJ54" s="38"/>
      <c r="AK54" s="147"/>
      <c r="AL54" s="147"/>
      <c r="AM54" s="147"/>
      <c r="AO54" s="197">
        <f>SUM(AO19,AO22,AO26,AO30,AO36)</f>
        <v>0</v>
      </c>
      <c r="AP54" s="52"/>
      <c r="AQ54" s="202" t="s">
        <v>92</v>
      </c>
      <c r="AR54" s="113"/>
      <c r="AS54" s="38"/>
      <c r="AT54" s="147"/>
      <c r="AU54" s="147"/>
      <c r="AV54" s="147"/>
      <c r="AX54" s="197">
        <f>SUM(AX19,AX22,AX26,AX30,AX36)</f>
        <v>0</v>
      </c>
      <c r="AY54" s="53"/>
      <c r="AZ54" s="202" t="s">
        <v>92</v>
      </c>
      <c r="BA54" s="113"/>
      <c r="BC54" s="147"/>
      <c r="BD54" s="147"/>
      <c r="BE54" s="147"/>
      <c r="BG54" s="197">
        <f>SUM(BG19,BG22,BG26,BG30,BG36)</f>
        <v>0</v>
      </c>
      <c r="BH54" s="53"/>
      <c r="BI54" s="202" t="s">
        <v>92</v>
      </c>
      <c r="BJ54" s="113"/>
      <c r="BK54" s="38"/>
      <c r="BL54" s="147"/>
      <c r="BM54" s="147"/>
      <c r="BN54" s="147"/>
      <c r="BP54" s="197">
        <f>SUM(BP19,BP22,BP26,BP30,BP36)</f>
        <v>0</v>
      </c>
      <c r="BQ54" s="53"/>
      <c r="BR54" s="202" t="s">
        <v>92</v>
      </c>
      <c r="BS54" s="113"/>
      <c r="BT54" s="38"/>
      <c r="BU54" s="147"/>
      <c r="BV54" s="147"/>
      <c r="BW54" s="147"/>
      <c r="BY54" s="197">
        <f>SUM(BY19,BY22,BY26,BY30,BY36)</f>
        <v>0</v>
      </c>
      <c r="BZ54" s="53"/>
      <c r="CA54" s="202" t="s">
        <v>92</v>
      </c>
      <c r="CB54" s="113"/>
      <c r="CC54" s="38"/>
      <c r="CD54" s="147"/>
      <c r="CE54" s="147"/>
      <c r="CF54" s="147"/>
      <c r="CH54" s="197">
        <f>SUM(CH19,CH22,CH26,CH30,CH36)</f>
        <v>0</v>
      </c>
      <c r="CI54" s="53"/>
      <c r="CJ54" s="202" t="s">
        <v>92</v>
      </c>
      <c r="CK54" s="113"/>
      <c r="CL54" s="38"/>
      <c r="CM54" s="147"/>
      <c r="CN54" s="147"/>
      <c r="CO54" s="147"/>
      <c r="CQ54" s="197">
        <f>SUM(CQ19,CQ22,CQ26,CQ30,CQ36)</f>
        <v>0</v>
      </c>
      <c r="CR54" s="53"/>
      <c r="CS54" s="227">
        <f>SUM(N54,W54,AF54,AO54,AX54,BG54,BP54,BY54,CH54,CQ54)</f>
        <v>0</v>
      </c>
      <c r="CT54" s="227"/>
      <c r="CU54" s="227" t="str">
        <f t="shared" ref="CU54:CU58" si="174">G54</f>
        <v>Total Direct Costs</v>
      </c>
    </row>
    <row r="55" spans="6:99" s="40" customFormat="1" ht="12.75" customHeight="1" x14ac:dyDescent="0.25">
      <c r="F55" s="52"/>
      <c r="G55" s="154" t="s">
        <v>93</v>
      </c>
      <c r="J55" s="147"/>
      <c r="K55" s="147"/>
      <c r="L55" s="147"/>
      <c r="N55" s="132">
        <f>N54-SUM(K50:K52)</f>
        <v>0</v>
      </c>
      <c r="O55" s="52"/>
      <c r="P55" s="167" t="s">
        <v>93</v>
      </c>
      <c r="S55" s="147"/>
      <c r="T55" s="147"/>
      <c r="U55" s="147"/>
      <c r="W55" s="132">
        <f>W54-SUM(T50:T52)</f>
        <v>0</v>
      </c>
      <c r="X55" s="52"/>
      <c r="Y55" s="167" t="s">
        <v>93</v>
      </c>
      <c r="Z55" s="133"/>
      <c r="AB55" s="147"/>
      <c r="AC55" s="147"/>
      <c r="AD55" s="147"/>
      <c r="AF55" s="132">
        <f>AF54-SUM(AC50:AC52)</f>
        <v>0</v>
      </c>
      <c r="AG55" s="52"/>
      <c r="AH55" s="167" t="s">
        <v>93</v>
      </c>
      <c r="AI55" s="133"/>
      <c r="AK55" s="147"/>
      <c r="AL55" s="147"/>
      <c r="AM55" s="147"/>
      <c r="AO55" s="132">
        <f>AO54-SUM(AL50:AL52)</f>
        <v>0</v>
      </c>
      <c r="AP55" s="52"/>
      <c r="AQ55" s="167" t="s">
        <v>93</v>
      </c>
      <c r="AR55" s="133"/>
      <c r="AT55" s="147"/>
      <c r="AU55" s="147"/>
      <c r="AV55" s="147"/>
      <c r="AX55" s="132">
        <f>AX54-SUM(AU50:AU52)</f>
        <v>0</v>
      </c>
      <c r="AY55" s="52"/>
      <c r="AZ55" s="167" t="s">
        <v>93</v>
      </c>
      <c r="BA55" s="133"/>
      <c r="BC55" s="147"/>
      <c r="BD55" s="147"/>
      <c r="BE55" s="147"/>
      <c r="BG55" s="132">
        <f>BG54-SUM(BD50:BD52)</f>
        <v>0</v>
      </c>
      <c r="BH55" s="53"/>
      <c r="BI55" s="167" t="s">
        <v>93</v>
      </c>
      <c r="BJ55" s="133"/>
      <c r="BL55" s="147"/>
      <c r="BM55" s="147"/>
      <c r="BN55" s="147"/>
      <c r="BP55" s="132">
        <f>BP54-SUM(BM50:BM52)</f>
        <v>0</v>
      </c>
      <c r="BQ55" s="53"/>
      <c r="BR55" s="167" t="s">
        <v>93</v>
      </c>
      <c r="BS55" s="133"/>
      <c r="BU55" s="147"/>
      <c r="BV55" s="147"/>
      <c r="BW55" s="147"/>
      <c r="BY55" s="132">
        <f>BY54-SUM(BV50:BV52)</f>
        <v>0</v>
      </c>
      <c r="BZ55" s="53"/>
      <c r="CA55" s="167" t="s">
        <v>93</v>
      </c>
      <c r="CB55" s="133"/>
      <c r="CD55" s="147"/>
      <c r="CE55" s="147"/>
      <c r="CF55" s="147"/>
      <c r="CH55" s="132">
        <f>CH54-SUM(CE50:CE52)</f>
        <v>0</v>
      </c>
      <c r="CI55" s="53"/>
      <c r="CJ55" s="167" t="s">
        <v>93</v>
      </c>
      <c r="CK55" s="38"/>
      <c r="CL55" s="38"/>
      <c r="CM55" s="147"/>
      <c r="CN55" s="147"/>
      <c r="CO55" s="147"/>
      <c r="CQ55" s="132">
        <f>CQ54-SUM(CN50:CN52)</f>
        <v>0</v>
      </c>
      <c r="CR55" s="53"/>
      <c r="CS55" s="43">
        <f>SUM(N55,W55,AF55,AO55,AX55,BG55,BP55,BY55,CH55,CQ55)</f>
        <v>0</v>
      </c>
      <c r="CT55" s="43"/>
      <c r="CU55" s="43" t="str">
        <f t="shared" si="174"/>
        <v>Total Direct (NIH)</v>
      </c>
    </row>
    <row r="56" spans="6:99" s="40" customFormat="1" ht="12.75" customHeight="1" x14ac:dyDescent="0.2">
      <c r="F56" s="52"/>
      <c r="G56" s="181" t="s">
        <v>94</v>
      </c>
      <c r="J56" s="147"/>
      <c r="K56" s="147"/>
      <c r="L56" s="147"/>
      <c r="N56" s="155">
        <f>IF(G$56="MTDC",ROUND(SUM(N$54+(SUM(L$50:L$52))-(N$22+N$30+M$46+M$47+M$49)),0),N$54)</f>
        <v>0</v>
      </c>
      <c r="O56" s="52"/>
      <c r="P56" s="168" t="str">
        <f>G56</f>
        <v>MTDC</v>
      </c>
      <c r="S56" s="147"/>
      <c r="T56" s="147"/>
      <c r="U56" s="147"/>
      <c r="W56" s="155">
        <f>IF(P$56="MTDC",ROUND(SUM(W$54+(SUM(U$50:U$52))-(W$22+W$30+V$46+V$47+V$49)),0),W$54)</f>
        <v>0</v>
      </c>
      <c r="X56" s="52"/>
      <c r="Y56" s="168" t="str">
        <f>G56</f>
        <v>MTDC</v>
      </c>
      <c r="AB56" s="147"/>
      <c r="AC56" s="147"/>
      <c r="AD56" s="147"/>
      <c r="AF56" s="155">
        <f>IF(Y$56="MTDC",ROUND(SUM(AF$54+(SUM(AD$50:AD$52))-(AF$22+AF$30+AE$46+AE$47+AE$49)),0),AF$54)</f>
        <v>0</v>
      </c>
      <c r="AG56" s="52"/>
      <c r="AH56" s="168" t="str">
        <f>G56</f>
        <v>MTDC</v>
      </c>
      <c r="AK56" s="147"/>
      <c r="AL56" s="147"/>
      <c r="AM56" s="147"/>
      <c r="AO56" s="155">
        <f>IF(AH$56="MTDC",ROUND(SUM(AO$54+(SUM(AM$50:AM$52))-(AO$22+AO$30+AN$46+AN$47+AN$49)),0),AO$54)</f>
        <v>0</v>
      </c>
      <c r="AP56" s="52"/>
      <c r="AQ56" s="168" t="str">
        <f>G56</f>
        <v>MTDC</v>
      </c>
      <c r="AT56" s="147"/>
      <c r="AU56" s="147"/>
      <c r="AV56" s="147"/>
      <c r="AX56" s="155">
        <f>IF(AQ$56="MTDC",ROUND(SUM(AX$54+(SUM(AV$50:AV$52))-(AX$22+AX$30+AW$46+AW$47+AW$49)),0),AX$54)</f>
        <v>0</v>
      </c>
      <c r="AY56" s="52"/>
      <c r="AZ56" s="168" t="str">
        <f>G56</f>
        <v>MTDC</v>
      </c>
      <c r="BC56" s="147"/>
      <c r="BD56" s="147"/>
      <c r="BE56" s="147"/>
      <c r="BG56" s="155">
        <f>IF(AZ$56="MTDC",ROUND(SUM(BG$54+(SUM(BE$50:BE$52))-(BG$22+BG$30+BF$46+BF$47+BF$49)),0),BG$54)</f>
        <v>0</v>
      </c>
      <c r="BH56" s="52"/>
      <c r="BI56" s="168" t="str">
        <f>G56</f>
        <v>MTDC</v>
      </c>
      <c r="BL56" s="147"/>
      <c r="BM56" s="147"/>
      <c r="BN56" s="147"/>
      <c r="BP56" s="155">
        <f>IF(BI$56="MTDC",ROUND(SUM(BP$54+(SUM(BN$50:BN$52))-(BP$22+BP$30+BO$46+BO$47+BO$49)),0),BP$54)</f>
        <v>0</v>
      </c>
      <c r="BQ56" s="52"/>
      <c r="BR56" s="168" t="str">
        <f>G56</f>
        <v>MTDC</v>
      </c>
      <c r="BU56" s="147"/>
      <c r="BV56" s="147"/>
      <c r="BW56" s="147"/>
      <c r="BY56" s="155">
        <f>IF(BR$56="MTDC",ROUND(SUM(BY$54+(SUM(BW$50:BW$52))-(BY$22+BY$30+BX$46+BX$47+BX$49)),0),BY$54)</f>
        <v>0</v>
      </c>
      <c r="BZ56" s="52"/>
      <c r="CA56" s="168" t="str">
        <f>G56</f>
        <v>MTDC</v>
      </c>
      <c r="CD56" s="147"/>
      <c r="CE56" s="147"/>
      <c r="CF56" s="147"/>
      <c r="CH56" s="155">
        <f>IF(CA$56="MTDC",ROUND(SUM(CH$54+(SUM(CF$50:CF$52))-(CH$22+CH$30+CG$46+CG$47+CG$49)),0),CH$54)</f>
        <v>0</v>
      </c>
      <c r="CI56" s="52"/>
      <c r="CJ56" s="168" t="str">
        <f>G56</f>
        <v>MTDC</v>
      </c>
      <c r="CM56" s="147"/>
      <c r="CN56" s="147"/>
      <c r="CO56" s="147"/>
      <c r="CQ56" s="155">
        <f>IF(CJ$56="MTDC",ROUND(SUM(CQ$54+(SUM(CO$50:CO$52))-(CQ$22+CQ$30+CP$46+CP$47+CP$49)),0),CQ$54)</f>
        <v>0</v>
      </c>
      <c r="CR56" s="52"/>
      <c r="CS56" s="43">
        <f>SUM(N56,W56,AF56,AO56,AX56,BG56,BP56,BY56,CH56,CQ56)</f>
        <v>0</v>
      </c>
      <c r="CT56" s="43"/>
      <c r="CU56" s="43" t="str">
        <f t="shared" si="174"/>
        <v>MTDC</v>
      </c>
    </row>
    <row r="57" spans="6:99" s="40" customFormat="1" ht="12.75" customHeight="1" x14ac:dyDescent="0.25">
      <c r="F57" s="52"/>
      <c r="G57" s="203" t="s">
        <v>95</v>
      </c>
      <c r="H57" s="341" t="s">
        <v>96</v>
      </c>
      <c r="I57" s="342"/>
      <c r="J57" s="103"/>
      <c r="K57" s="103"/>
      <c r="L57" s="103"/>
      <c r="M57" s="156">
        <f>VLOOKUP(H57, lists!$E:$F, 2, FALSE)</f>
        <v>0.52</v>
      </c>
      <c r="N57" s="197">
        <f>ROUND((N$56*M$57),0)</f>
        <v>0</v>
      </c>
      <c r="O57" s="52"/>
      <c r="P57" s="175" t="s">
        <v>95</v>
      </c>
      <c r="Q57" s="309" t="str">
        <f>H57</f>
        <v>On Campus</v>
      </c>
      <c r="R57" s="310"/>
      <c r="S57" s="103"/>
      <c r="T57" s="103"/>
      <c r="U57" s="103"/>
      <c r="V57" s="156">
        <f>M57</f>
        <v>0.52</v>
      </c>
      <c r="W57" s="197">
        <f>ROUND((W$56*V$57),0)</f>
        <v>0</v>
      </c>
      <c r="X57" s="52"/>
      <c r="Y57" s="175" t="s">
        <v>95</v>
      </c>
      <c r="Z57" s="309" t="str">
        <f>H57</f>
        <v>On Campus</v>
      </c>
      <c r="AA57" s="310"/>
      <c r="AB57" s="103"/>
      <c r="AC57" s="103"/>
      <c r="AD57" s="103"/>
      <c r="AE57" s="156">
        <f>M57</f>
        <v>0.52</v>
      </c>
      <c r="AF57" s="197">
        <f>ROUND((AF$56*AE$57),0)</f>
        <v>0</v>
      </c>
      <c r="AG57" s="52"/>
      <c r="AH57" s="175" t="s">
        <v>95</v>
      </c>
      <c r="AI57" s="309" t="str">
        <f>H57</f>
        <v>On Campus</v>
      </c>
      <c r="AJ57" s="310"/>
      <c r="AK57" s="103"/>
      <c r="AL57" s="103"/>
      <c r="AM57" s="103"/>
      <c r="AN57" s="156">
        <f>M57</f>
        <v>0.52</v>
      </c>
      <c r="AO57" s="197">
        <f>ROUND((AO$56*AN$57),0)</f>
        <v>0</v>
      </c>
      <c r="AP57" s="52"/>
      <c r="AQ57" s="175" t="s">
        <v>95</v>
      </c>
      <c r="AR57" s="309" t="str">
        <f>H57</f>
        <v>On Campus</v>
      </c>
      <c r="AS57" s="310"/>
      <c r="AT57" s="103"/>
      <c r="AU57" s="103"/>
      <c r="AV57" s="103"/>
      <c r="AW57" s="156">
        <f>M57</f>
        <v>0.52</v>
      </c>
      <c r="AX57" s="197">
        <f>ROUND((AX$56*AW$57),0)</f>
        <v>0</v>
      </c>
      <c r="AY57" s="52"/>
      <c r="AZ57" s="175" t="s">
        <v>95</v>
      </c>
      <c r="BA57" s="309" t="str">
        <f>H57</f>
        <v>On Campus</v>
      </c>
      <c r="BB57" s="310"/>
      <c r="BC57" s="103"/>
      <c r="BD57" s="103"/>
      <c r="BE57" s="103"/>
      <c r="BF57" s="156">
        <f>M57</f>
        <v>0.52</v>
      </c>
      <c r="BG57" s="197">
        <f>ROUND((BG$56*BF$57),0)</f>
        <v>0</v>
      </c>
      <c r="BH57" s="52"/>
      <c r="BI57" s="175" t="s">
        <v>95</v>
      </c>
      <c r="BJ57" s="309" t="str">
        <f>H57</f>
        <v>On Campus</v>
      </c>
      <c r="BK57" s="310"/>
      <c r="BL57" s="103"/>
      <c r="BM57" s="103"/>
      <c r="BN57" s="103"/>
      <c r="BO57" s="156">
        <f>M57</f>
        <v>0.52</v>
      </c>
      <c r="BP57" s="197">
        <f>ROUND((BP$56*BO$57),0)</f>
        <v>0</v>
      </c>
      <c r="BQ57" s="52"/>
      <c r="BR57" s="175" t="s">
        <v>95</v>
      </c>
      <c r="BS57" s="309" t="str">
        <f>H57</f>
        <v>On Campus</v>
      </c>
      <c r="BT57" s="310"/>
      <c r="BU57" s="103"/>
      <c r="BV57" s="103"/>
      <c r="BW57" s="103"/>
      <c r="BX57" s="156">
        <f>M57</f>
        <v>0.52</v>
      </c>
      <c r="BY57" s="197">
        <f>ROUND((BY$56*BX$57),0)</f>
        <v>0</v>
      </c>
      <c r="BZ57" s="52"/>
      <c r="CA57" s="175" t="s">
        <v>95</v>
      </c>
      <c r="CB57" s="309" t="str">
        <f>H57</f>
        <v>On Campus</v>
      </c>
      <c r="CC57" s="310"/>
      <c r="CD57" s="103"/>
      <c r="CE57" s="103"/>
      <c r="CF57" s="103"/>
      <c r="CG57" s="156">
        <f>M57</f>
        <v>0.52</v>
      </c>
      <c r="CH57" s="197">
        <f>ROUND((CH$56*CG$57),0)</f>
        <v>0</v>
      </c>
      <c r="CI57" s="52"/>
      <c r="CJ57" s="175" t="s">
        <v>95</v>
      </c>
      <c r="CK57" s="309" t="str">
        <f>H57</f>
        <v>On Campus</v>
      </c>
      <c r="CL57" s="310"/>
      <c r="CM57" s="103"/>
      <c r="CN57" s="103"/>
      <c r="CO57" s="103"/>
      <c r="CP57" s="156">
        <f>M57</f>
        <v>0.52</v>
      </c>
      <c r="CQ57" s="197">
        <f>ROUND((CQ$56*CP$57),0)</f>
        <v>0</v>
      </c>
      <c r="CR57" s="52"/>
      <c r="CS57" s="227">
        <f>SUM(N57,W57,AF57,AO57,AX57,BG57,BP57,BY57,CH57,CQ57)</f>
        <v>0</v>
      </c>
      <c r="CT57" s="227"/>
      <c r="CU57" s="227" t="str">
        <f t="shared" si="174"/>
        <v>Indirect (F&amp;A)</v>
      </c>
    </row>
    <row r="58" spans="6:99" s="40" customFormat="1" ht="12.75" customHeight="1" thickBot="1" x14ac:dyDescent="0.35">
      <c r="F58" s="52"/>
      <c r="G58" s="204" t="s">
        <v>97</v>
      </c>
      <c r="H58" s="157"/>
      <c r="I58" s="157"/>
      <c r="J58" s="158"/>
      <c r="K58" s="158"/>
      <c r="L58" s="158"/>
      <c r="M58" s="159"/>
      <c r="N58" s="205">
        <f>SUM(N$54,N$57)</f>
        <v>0</v>
      </c>
      <c r="O58" s="31"/>
      <c r="P58" s="204" t="s">
        <v>97</v>
      </c>
      <c r="Q58" s="157"/>
      <c r="R58" s="157"/>
      <c r="S58" s="158"/>
      <c r="T58" s="158"/>
      <c r="U58" s="158"/>
      <c r="V58" s="159"/>
      <c r="W58" s="205">
        <f>SUM(W$54,W$57)</f>
        <v>0</v>
      </c>
      <c r="X58" s="31"/>
      <c r="Y58" s="204" t="s">
        <v>97</v>
      </c>
      <c r="Z58" s="157"/>
      <c r="AA58" s="157"/>
      <c r="AB58" s="158"/>
      <c r="AC58" s="158"/>
      <c r="AD58" s="158"/>
      <c r="AE58" s="159"/>
      <c r="AF58" s="205">
        <f>SUM(AF$54,AF$57)</f>
        <v>0</v>
      </c>
      <c r="AG58" s="31"/>
      <c r="AH58" s="204" t="s">
        <v>97</v>
      </c>
      <c r="AI58" s="157"/>
      <c r="AJ58" s="157"/>
      <c r="AK58" s="158"/>
      <c r="AL58" s="158"/>
      <c r="AM58" s="158"/>
      <c r="AN58" s="159"/>
      <c r="AO58" s="205">
        <f>SUM(AO$54,AO$57)</f>
        <v>0</v>
      </c>
      <c r="AP58" s="31"/>
      <c r="AQ58" s="204" t="s">
        <v>97</v>
      </c>
      <c r="AR58" s="157"/>
      <c r="AS58" s="157"/>
      <c r="AT58" s="158"/>
      <c r="AU58" s="158"/>
      <c r="AV58" s="158"/>
      <c r="AW58" s="159"/>
      <c r="AX58" s="205">
        <f>SUM(AX$54,AX$57)</f>
        <v>0</v>
      </c>
      <c r="AY58" s="31"/>
      <c r="AZ58" s="204" t="s">
        <v>97</v>
      </c>
      <c r="BA58" s="157"/>
      <c r="BB58" s="157"/>
      <c r="BC58" s="158"/>
      <c r="BD58" s="158"/>
      <c r="BE58" s="158"/>
      <c r="BF58" s="159"/>
      <c r="BG58" s="205">
        <f>SUM(BG$54,BG$57)</f>
        <v>0</v>
      </c>
      <c r="BH58" s="31"/>
      <c r="BI58" s="204" t="s">
        <v>97</v>
      </c>
      <c r="BJ58" s="157"/>
      <c r="BK58" s="157"/>
      <c r="BL58" s="158"/>
      <c r="BM58" s="158"/>
      <c r="BN58" s="158"/>
      <c r="BO58" s="159"/>
      <c r="BP58" s="205">
        <f>SUM(BP$54,BP$57)</f>
        <v>0</v>
      </c>
      <c r="BQ58" s="31"/>
      <c r="BR58" s="204" t="s">
        <v>97</v>
      </c>
      <c r="BS58" s="157"/>
      <c r="BT58" s="157"/>
      <c r="BU58" s="158"/>
      <c r="BV58" s="158"/>
      <c r="BW58" s="158"/>
      <c r="BX58" s="159"/>
      <c r="BY58" s="205">
        <f>SUM(BY$54,BY$57)</f>
        <v>0</v>
      </c>
      <c r="BZ58" s="31"/>
      <c r="CA58" s="204" t="s">
        <v>97</v>
      </c>
      <c r="CB58" s="157"/>
      <c r="CC58" s="157"/>
      <c r="CD58" s="158"/>
      <c r="CE58" s="158"/>
      <c r="CF58" s="158"/>
      <c r="CG58" s="159"/>
      <c r="CH58" s="205">
        <f>SUM(CH$54,CH$57)</f>
        <v>0</v>
      </c>
      <c r="CI58" s="31"/>
      <c r="CJ58" s="204" t="s">
        <v>97</v>
      </c>
      <c r="CK58" s="157"/>
      <c r="CL58" s="157"/>
      <c r="CM58" s="158"/>
      <c r="CN58" s="158"/>
      <c r="CO58" s="158"/>
      <c r="CP58" s="159"/>
      <c r="CQ58" s="205">
        <f>SUM(CQ$54,CQ$57)</f>
        <v>0</v>
      </c>
      <c r="CR58" s="31"/>
      <c r="CS58" s="228">
        <f>SUM(N58,W58,AF58,AO58,AX58,BG58,BP58,BY58,CH58,CQ58)</f>
        <v>0</v>
      </c>
      <c r="CT58" s="228"/>
      <c r="CU58" s="228" t="str">
        <f t="shared" si="174"/>
        <v>Direct + Indirect</v>
      </c>
    </row>
    <row r="59" spans="6:99" ht="13" customHeight="1" x14ac:dyDescent="0.25"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72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</row>
    <row r="60" spans="6:99" s="54" customFormat="1" ht="13" customHeight="1" outlineLevel="1" x14ac:dyDescent="0.2">
      <c r="M60" s="138" t="s">
        <v>185</v>
      </c>
      <c r="N60" s="209">
        <v>0</v>
      </c>
      <c r="R60" s="72"/>
      <c r="V60" s="138" t="s">
        <v>185</v>
      </c>
      <c r="W60" s="209">
        <v>0</v>
      </c>
      <c r="AA60" s="72"/>
      <c r="AE60" s="138" t="s">
        <v>185</v>
      </c>
      <c r="AF60" s="209">
        <v>0</v>
      </c>
      <c r="AJ60" s="72"/>
      <c r="AN60" s="138" t="s">
        <v>185</v>
      </c>
      <c r="AO60" s="209">
        <v>0</v>
      </c>
      <c r="AS60" s="72"/>
      <c r="AW60" s="138" t="s">
        <v>185</v>
      </c>
      <c r="AX60" s="209">
        <v>0</v>
      </c>
      <c r="BB60" s="72"/>
      <c r="BF60" s="138" t="s">
        <v>185</v>
      </c>
      <c r="BG60" s="209">
        <v>0</v>
      </c>
      <c r="BK60" s="72"/>
      <c r="BO60" s="138" t="s">
        <v>185</v>
      </c>
      <c r="BP60" s="209">
        <v>0</v>
      </c>
      <c r="BT60" s="72"/>
      <c r="BX60" s="138" t="s">
        <v>185</v>
      </c>
      <c r="BY60" s="209">
        <v>0</v>
      </c>
      <c r="CC60" s="72"/>
      <c r="CG60" s="138" t="s">
        <v>185</v>
      </c>
      <c r="CH60" s="209">
        <v>0</v>
      </c>
      <c r="CL60" s="72"/>
      <c r="CP60" s="138" t="s">
        <v>185</v>
      </c>
      <c r="CQ60" s="209">
        <v>0</v>
      </c>
      <c r="CS60" s="209">
        <v>0</v>
      </c>
      <c r="CT60" s="275"/>
    </row>
    <row r="61" spans="6:99" s="54" customFormat="1" ht="13" customHeight="1" outlineLevel="1" x14ac:dyDescent="0.2">
      <c r="M61" s="138" t="s">
        <v>98</v>
      </c>
      <c r="N61" s="72">
        <f>N$60-N$58</f>
        <v>0</v>
      </c>
      <c r="V61" s="138" t="s">
        <v>98</v>
      </c>
      <c r="W61" s="72">
        <f>W$60-W$58</f>
        <v>0</v>
      </c>
      <c r="AE61" s="138" t="s">
        <v>98</v>
      </c>
      <c r="AF61" s="72">
        <f>AF$60-AF$58</f>
        <v>0</v>
      </c>
      <c r="AN61" s="138" t="s">
        <v>98</v>
      </c>
      <c r="AO61" s="72">
        <f>AO$60-AO$58</f>
        <v>0</v>
      </c>
      <c r="AS61" s="72"/>
      <c r="AW61" s="138" t="s">
        <v>98</v>
      </c>
      <c r="AX61" s="72">
        <f>AX$60-AX$58</f>
        <v>0</v>
      </c>
      <c r="BB61" s="72"/>
      <c r="BF61" s="138" t="s">
        <v>98</v>
      </c>
      <c r="BG61" s="72">
        <f>BG$60-BG$58</f>
        <v>0</v>
      </c>
      <c r="BK61" s="72"/>
      <c r="BO61" s="138" t="s">
        <v>98</v>
      </c>
      <c r="BP61" s="72">
        <f>BP$60-BP$58</f>
        <v>0</v>
      </c>
      <c r="BT61" s="72"/>
      <c r="BX61" s="138" t="s">
        <v>98</v>
      </c>
      <c r="BY61" s="72">
        <f>BY$60-BY$58</f>
        <v>0</v>
      </c>
      <c r="CC61" s="72"/>
      <c r="CG61" s="138" t="s">
        <v>98</v>
      </c>
      <c r="CH61" s="72">
        <f>CH$60-CH$58</f>
        <v>0</v>
      </c>
      <c r="CL61" s="72"/>
      <c r="CP61" s="138" t="s">
        <v>98</v>
      </c>
      <c r="CQ61" s="72">
        <f>CQ$60-CQ$58</f>
        <v>0</v>
      </c>
      <c r="CS61" s="72">
        <f>CS60-CS58</f>
        <v>0</v>
      </c>
      <c r="CT61" s="72"/>
    </row>
    <row r="62" spans="6:99" s="54" customFormat="1" ht="13" customHeight="1" outlineLevel="1" x14ac:dyDescent="0.2">
      <c r="N62" s="72"/>
      <c r="W62" s="72"/>
      <c r="AF62" s="72"/>
      <c r="AO62" s="72"/>
      <c r="AX62" s="72"/>
      <c r="BG62" s="72"/>
      <c r="BP62" s="72"/>
      <c r="BY62" s="72"/>
      <c r="CH62" s="72"/>
      <c r="CQ62" s="72"/>
      <c r="CS62" s="72"/>
      <c r="CT62" s="72"/>
    </row>
    <row r="63" spans="6:99" s="54" customFormat="1" ht="13" customHeight="1" outlineLevel="1" x14ac:dyDescent="0.2">
      <c r="M63" s="138" t="s">
        <v>184</v>
      </c>
      <c r="N63" s="209">
        <v>0</v>
      </c>
      <c r="V63" s="138" t="s">
        <v>184</v>
      </c>
      <c r="W63" s="209">
        <v>0</v>
      </c>
      <c r="AE63" s="138" t="s">
        <v>184</v>
      </c>
      <c r="AF63" s="209">
        <v>0</v>
      </c>
      <c r="AN63" s="138" t="s">
        <v>184</v>
      </c>
      <c r="AO63" s="209">
        <v>0</v>
      </c>
      <c r="AW63" s="138" t="s">
        <v>184</v>
      </c>
      <c r="AX63" s="209">
        <v>0</v>
      </c>
      <c r="BF63" s="138" t="s">
        <v>184</v>
      </c>
      <c r="BG63" s="209">
        <v>0</v>
      </c>
      <c r="BO63" s="138" t="s">
        <v>184</v>
      </c>
      <c r="BP63" s="209">
        <v>0</v>
      </c>
      <c r="BX63" s="138" t="s">
        <v>184</v>
      </c>
      <c r="BY63" s="209">
        <v>0</v>
      </c>
      <c r="CG63" s="138" t="s">
        <v>184</v>
      </c>
      <c r="CH63" s="209">
        <v>0</v>
      </c>
      <c r="CP63" s="138" t="s">
        <v>184</v>
      </c>
      <c r="CQ63" s="209">
        <v>0</v>
      </c>
      <c r="CS63" s="209">
        <v>0</v>
      </c>
      <c r="CT63" s="275"/>
    </row>
    <row r="64" spans="6:99" s="54" customFormat="1" ht="13" customHeight="1" outlineLevel="1" x14ac:dyDescent="0.2">
      <c r="M64" s="138" t="s">
        <v>98</v>
      </c>
      <c r="N64" s="72">
        <f>N$63-N$55</f>
        <v>0</v>
      </c>
      <c r="V64" s="138" t="s">
        <v>98</v>
      </c>
      <c r="W64" s="72">
        <f>W$63-W$55</f>
        <v>0</v>
      </c>
      <c r="AE64" s="138" t="s">
        <v>98</v>
      </c>
      <c r="AF64" s="72">
        <f>AF$63-AF$55</f>
        <v>0</v>
      </c>
      <c r="AN64" s="138" t="s">
        <v>98</v>
      </c>
      <c r="AO64" s="72">
        <f>AO$63-AO$55</f>
        <v>0</v>
      </c>
      <c r="AW64" s="138" t="s">
        <v>98</v>
      </c>
      <c r="AX64" s="72">
        <f>AX$63-AX$55</f>
        <v>0</v>
      </c>
      <c r="BF64" s="138" t="s">
        <v>98</v>
      </c>
      <c r="BG64" s="72">
        <f>BG$63-BG$55</f>
        <v>0</v>
      </c>
      <c r="BO64" s="138" t="s">
        <v>98</v>
      </c>
      <c r="BP64" s="72">
        <f>BP$63-BP$55</f>
        <v>0</v>
      </c>
      <c r="BX64" s="138" t="s">
        <v>98</v>
      </c>
      <c r="BY64" s="72">
        <f>BY$63-BY$55</f>
        <v>0</v>
      </c>
      <c r="CG64" s="138" t="s">
        <v>98</v>
      </c>
      <c r="CH64" s="72">
        <f>CH$63-CH$55</f>
        <v>0</v>
      </c>
      <c r="CP64" s="138" t="s">
        <v>98</v>
      </c>
      <c r="CQ64" s="72">
        <f>CQ$63-CQ$55</f>
        <v>0</v>
      </c>
      <c r="CS64" s="72">
        <f>CS63-CS55</f>
        <v>0</v>
      </c>
      <c r="CT64" s="72"/>
    </row>
  </sheetData>
  <mergeCells count="266">
    <mergeCell ref="BI1:BP1"/>
    <mergeCell ref="H57:I57"/>
    <mergeCell ref="AQ42:AR42"/>
    <mergeCell ref="AQ43:AR43"/>
    <mergeCell ref="AQ27:AR27"/>
    <mergeCell ref="AQ28:AR28"/>
    <mergeCell ref="AQ30:AR30"/>
    <mergeCell ref="AQ31:AR31"/>
    <mergeCell ref="AQ32:AR32"/>
    <mergeCell ref="AQ33:AR33"/>
    <mergeCell ref="AQ34:AR34"/>
    <mergeCell ref="AQ36:AR36"/>
    <mergeCell ref="AQ37:AR37"/>
    <mergeCell ref="P41:Q41"/>
    <mergeCell ref="P42:Q42"/>
    <mergeCell ref="G39:H39"/>
    <mergeCell ref="G40:H40"/>
    <mergeCell ref="G41:H41"/>
    <mergeCell ref="G42:H42"/>
    <mergeCell ref="Y32:Z32"/>
    <mergeCell ref="Y33:Z33"/>
    <mergeCell ref="Y34:Z34"/>
    <mergeCell ref="Y31:Z31"/>
    <mergeCell ref="G30:H30"/>
    <mergeCell ref="AZ1:BG1"/>
    <mergeCell ref="AZ2:BB2"/>
    <mergeCell ref="AZ19:BA19"/>
    <mergeCell ref="AZ22:BA22"/>
    <mergeCell ref="AZ23:BA23"/>
    <mergeCell ref="AZ24:BA24"/>
    <mergeCell ref="AZ26:BA26"/>
    <mergeCell ref="AZ27:BA27"/>
    <mergeCell ref="AZ28:BA28"/>
    <mergeCell ref="AH43:AI43"/>
    <mergeCell ref="BI2:BK2"/>
    <mergeCell ref="BI19:BJ19"/>
    <mergeCell ref="BI22:BJ22"/>
    <mergeCell ref="BI23:BJ23"/>
    <mergeCell ref="BI24:BJ24"/>
    <mergeCell ref="BI26:BJ26"/>
    <mergeCell ref="BI27:BJ27"/>
    <mergeCell ref="BI28:BJ28"/>
    <mergeCell ref="BI43:BJ43"/>
    <mergeCell ref="AZ30:BA30"/>
    <mergeCell ref="AZ31:BA31"/>
    <mergeCell ref="AZ32:BA32"/>
    <mergeCell ref="AZ33:BA33"/>
    <mergeCell ref="AZ34:BA34"/>
    <mergeCell ref="AZ36:BA36"/>
    <mergeCell ref="AZ37:BA37"/>
    <mergeCell ref="AZ38:BA38"/>
    <mergeCell ref="AZ39:BA39"/>
    <mergeCell ref="AZ40:BA40"/>
    <mergeCell ref="AZ41:BA41"/>
    <mergeCell ref="AZ42:BA42"/>
    <mergeCell ref="AZ43:BA43"/>
    <mergeCell ref="G43:H43"/>
    <mergeCell ref="Y43:Z43"/>
    <mergeCell ref="P38:Q38"/>
    <mergeCell ref="P39:Q39"/>
    <mergeCell ref="P40:Q40"/>
    <mergeCell ref="Y39:Z39"/>
    <mergeCell ref="P30:Q30"/>
    <mergeCell ref="P31:Q31"/>
    <mergeCell ref="P32:Q32"/>
    <mergeCell ref="P33:Q33"/>
    <mergeCell ref="P34:Q34"/>
    <mergeCell ref="P43:Q43"/>
    <mergeCell ref="Y37:Z37"/>
    <mergeCell ref="Y40:Z40"/>
    <mergeCell ref="Y38:Z38"/>
    <mergeCell ref="Y30:Z30"/>
    <mergeCell ref="G37:H37"/>
    <mergeCell ref="CA36:CB36"/>
    <mergeCell ref="CA37:CB37"/>
    <mergeCell ref="BR36:BS36"/>
    <mergeCell ref="BR37:BS37"/>
    <mergeCell ref="BR40:BS40"/>
    <mergeCell ref="BI36:BJ36"/>
    <mergeCell ref="Y41:Z41"/>
    <mergeCell ref="Y42:Z42"/>
    <mergeCell ref="G31:H31"/>
    <mergeCell ref="G32:H32"/>
    <mergeCell ref="G33:H33"/>
    <mergeCell ref="BI38:BJ38"/>
    <mergeCell ref="BI39:BJ39"/>
    <mergeCell ref="BI40:BJ40"/>
    <mergeCell ref="BI42:BJ42"/>
    <mergeCell ref="AH37:AI37"/>
    <mergeCell ref="G34:H34"/>
    <mergeCell ref="G36:H36"/>
    <mergeCell ref="Y36:Z36"/>
    <mergeCell ref="P36:Q36"/>
    <mergeCell ref="P37:Q37"/>
    <mergeCell ref="G38:H38"/>
    <mergeCell ref="AH36:AI36"/>
    <mergeCell ref="CJ37:CK37"/>
    <mergeCell ref="AH38:AI38"/>
    <mergeCell ref="CJ38:CK38"/>
    <mergeCell ref="CJ39:CK39"/>
    <mergeCell ref="CJ40:CK40"/>
    <mergeCell ref="CA38:CB38"/>
    <mergeCell ref="CA39:CB39"/>
    <mergeCell ref="BR38:BS38"/>
    <mergeCell ref="BR39:BS39"/>
    <mergeCell ref="AQ38:AR38"/>
    <mergeCell ref="AQ39:AR39"/>
    <mergeCell ref="AQ40:AR40"/>
    <mergeCell ref="CJ43:CK43"/>
    <mergeCell ref="CA40:CB40"/>
    <mergeCell ref="CA41:CB41"/>
    <mergeCell ref="AH30:AI30"/>
    <mergeCell ref="AH31:AI31"/>
    <mergeCell ref="AH32:AI32"/>
    <mergeCell ref="AH33:AI33"/>
    <mergeCell ref="AH34:AI34"/>
    <mergeCell ref="CJ32:CK32"/>
    <mergeCell ref="CJ33:CK33"/>
    <mergeCell ref="CJ34:CK34"/>
    <mergeCell ref="CA42:CB42"/>
    <mergeCell ref="CA43:CB43"/>
    <mergeCell ref="BR41:BS41"/>
    <mergeCell ref="BR42:BS42"/>
    <mergeCell ref="BR43:BS43"/>
    <mergeCell ref="AQ41:AR41"/>
    <mergeCell ref="BI41:BJ41"/>
    <mergeCell ref="AH39:AI39"/>
    <mergeCell ref="AH40:AI40"/>
    <mergeCell ref="AH41:AI41"/>
    <mergeCell ref="CA34:CB34"/>
    <mergeCell ref="BR30:BS30"/>
    <mergeCell ref="CJ36:CK36"/>
    <mergeCell ref="CA24:CB24"/>
    <mergeCell ref="AQ24:AR24"/>
    <mergeCell ref="AQ22:AR22"/>
    <mergeCell ref="CJ30:CK30"/>
    <mergeCell ref="CJ31:CK31"/>
    <mergeCell ref="CA26:CB26"/>
    <mergeCell ref="AQ26:AR26"/>
    <mergeCell ref="CJ41:CK41"/>
    <mergeCell ref="AH42:AI42"/>
    <mergeCell ref="CJ42:CK42"/>
    <mergeCell ref="BR31:BS31"/>
    <mergeCell ref="BR32:BS32"/>
    <mergeCell ref="BR33:BS33"/>
    <mergeCell ref="BR34:BS34"/>
    <mergeCell ref="CA32:CB32"/>
    <mergeCell ref="CA33:CB33"/>
    <mergeCell ref="CA30:CB30"/>
    <mergeCell ref="CA31:CB31"/>
    <mergeCell ref="BI30:BJ30"/>
    <mergeCell ref="BI31:BJ31"/>
    <mergeCell ref="BI32:BJ32"/>
    <mergeCell ref="BI33:BJ33"/>
    <mergeCell ref="BI34:BJ34"/>
    <mergeCell ref="BI37:BJ37"/>
    <mergeCell ref="P22:Q22"/>
    <mergeCell ref="P24:Q24"/>
    <mergeCell ref="G24:H24"/>
    <mergeCell ref="Y24:Z24"/>
    <mergeCell ref="CJ26:CK26"/>
    <mergeCell ref="CJ27:CK27"/>
    <mergeCell ref="CJ28:CK28"/>
    <mergeCell ref="AH19:AI19"/>
    <mergeCell ref="AH22:AI22"/>
    <mergeCell ref="AH23:AI23"/>
    <mergeCell ref="AH24:AI24"/>
    <mergeCell ref="AH26:AI26"/>
    <mergeCell ref="AH27:AI27"/>
    <mergeCell ref="AH28:AI28"/>
    <mergeCell ref="CA27:CB27"/>
    <mergeCell ref="CA28:CB28"/>
    <mergeCell ref="CJ24:CK24"/>
    <mergeCell ref="BR19:BS19"/>
    <mergeCell ref="BR22:BS22"/>
    <mergeCell ref="BR23:BS23"/>
    <mergeCell ref="BR24:BS24"/>
    <mergeCell ref="BR26:BS26"/>
    <mergeCell ref="BR27:BS27"/>
    <mergeCell ref="BR28:BS28"/>
    <mergeCell ref="CS1:CU1"/>
    <mergeCell ref="AH2:AJ2"/>
    <mergeCell ref="G23:H23"/>
    <mergeCell ref="P23:Q23"/>
    <mergeCell ref="Y23:Z23"/>
    <mergeCell ref="CJ1:CQ1"/>
    <mergeCell ref="CJ2:CL2"/>
    <mergeCell ref="CJ19:CK19"/>
    <mergeCell ref="CJ22:CK22"/>
    <mergeCell ref="CJ23:CK23"/>
    <mergeCell ref="BR1:BY1"/>
    <mergeCell ref="BR2:BT2"/>
    <mergeCell ref="Y1:AF1"/>
    <mergeCell ref="Y2:AA2"/>
    <mergeCell ref="CA1:CH1"/>
    <mergeCell ref="CA2:CC2"/>
    <mergeCell ref="CA19:CB19"/>
    <mergeCell ref="CA22:CB22"/>
    <mergeCell ref="CA23:CB23"/>
    <mergeCell ref="AH1:AO1"/>
    <mergeCell ref="AQ23:AR23"/>
    <mergeCell ref="AQ1:AX1"/>
    <mergeCell ref="AQ2:AS2"/>
    <mergeCell ref="AQ19:AR19"/>
    <mergeCell ref="B18:D18"/>
    <mergeCell ref="G19:H19"/>
    <mergeCell ref="Y19:Z19"/>
    <mergeCell ref="G22:H22"/>
    <mergeCell ref="Y22:Z22"/>
    <mergeCell ref="G50:H50"/>
    <mergeCell ref="B4:E4"/>
    <mergeCell ref="B10:E10"/>
    <mergeCell ref="B1:E1"/>
    <mergeCell ref="B2:E2"/>
    <mergeCell ref="Y27:Z27"/>
    <mergeCell ref="Y28:Z28"/>
    <mergeCell ref="G1:N1"/>
    <mergeCell ref="P1:W1"/>
    <mergeCell ref="P27:Q27"/>
    <mergeCell ref="P28:Q28"/>
    <mergeCell ref="G27:H27"/>
    <mergeCell ref="G28:H28"/>
    <mergeCell ref="P26:Q26"/>
    <mergeCell ref="G26:H26"/>
    <mergeCell ref="Y26:Z26"/>
    <mergeCell ref="G2:I2"/>
    <mergeCell ref="P2:R2"/>
    <mergeCell ref="P19:Q19"/>
    <mergeCell ref="G51:H51"/>
    <mergeCell ref="G52:H52"/>
    <mergeCell ref="P50:Q50"/>
    <mergeCell ref="P51:Q51"/>
    <mergeCell ref="P52:Q52"/>
    <mergeCell ref="Y50:Z50"/>
    <mergeCell ref="Y51:Z51"/>
    <mergeCell ref="Y52:Z52"/>
    <mergeCell ref="AH50:AI50"/>
    <mergeCell ref="AH51:AI51"/>
    <mergeCell ref="AH52:AI52"/>
    <mergeCell ref="AQ50:AR50"/>
    <mergeCell ref="AQ51:AR51"/>
    <mergeCell ref="AQ52:AR52"/>
    <mergeCell ref="AZ50:BA50"/>
    <mergeCell ref="AZ51:BA51"/>
    <mergeCell ref="AZ52:BA52"/>
    <mergeCell ref="BI50:BJ50"/>
    <mergeCell ref="BI51:BJ51"/>
    <mergeCell ref="BI52:BJ52"/>
    <mergeCell ref="BR50:BS50"/>
    <mergeCell ref="BR51:BS51"/>
    <mergeCell ref="BR52:BS52"/>
    <mergeCell ref="CA50:CB50"/>
    <mergeCell ref="CA51:CB51"/>
    <mergeCell ref="CA52:CB52"/>
    <mergeCell ref="CJ50:CK50"/>
    <mergeCell ref="CJ51:CK51"/>
    <mergeCell ref="CJ52:CK52"/>
    <mergeCell ref="Q57:R57"/>
    <mergeCell ref="Z57:AA57"/>
    <mergeCell ref="AI57:AJ57"/>
    <mergeCell ref="AR57:AS57"/>
    <mergeCell ref="BA57:BB57"/>
    <mergeCell ref="BJ57:BK57"/>
    <mergeCell ref="BS57:BT57"/>
    <mergeCell ref="CB57:CC57"/>
    <mergeCell ref="CK57:CL57"/>
  </mergeCells>
  <conditionalFormatting sqref="A5:A8">
    <cfRule type="cellIs" dxfId="50" priority="99" operator="greaterThan">
      <formula>$A$19</formula>
    </cfRule>
  </conditionalFormatting>
  <conditionalFormatting sqref="A16:A18">
    <cfRule type="cellIs" dxfId="49" priority="93" operator="greaterThan">
      <formula>189600</formula>
    </cfRule>
  </conditionalFormatting>
  <conditionalFormatting sqref="N61">
    <cfRule type="cellIs" dxfId="44" priority="95" operator="lessThan">
      <formula>0</formula>
    </cfRule>
    <cfRule type="cellIs" dxfId="43" priority="94" operator="greaterThan">
      <formula>0</formula>
    </cfRule>
  </conditionalFormatting>
  <conditionalFormatting sqref="N64">
    <cfRule type="cellIs" dxfId="42" priority="91" operator="lessThan">
      <formula>0</formula>
    </cfRule>
    <cfRule type="cellIs" dxfId="41" priority="90" operator="greaterThan">
      <formula>0</formula>
    </cfRule>
  </conditionalFormatting>
  <conditionalFormatting sqref="W61">
    <cfRule type="cellIs" dxfId="40" priority="36" operator="lessThan">
      <formula>0</formula>
    </cfRule>
    <cfRule type="cellIs" dxfId="39" priority="35" operator="greaterThan">
      <formula>0</formula>
    </cfRule>
  </conditionalFormatting>
  <conditionalFormatting sqref="W64">
    <cfRule type="cellIs" dxfId="38" priority="34" operator="lessThan">
      <formula>0</formula>
    </cfRule>
    <cfRule type="cellIs" dxfId="37" priority="33" operator="greaterThan">
      <formula>0</formula>
    </cfRule>
  </conditionalFormatting>
  <conditionalFormatting sqref="AF61">
    <cfRule type="cellIs" dxfId="36" priority="32" operator="lessThan">
      <formula>0</formula>
    </cfRule>
    <cfRule type="cellIs" dxfId="35" priority="31" operator="greaterThan">
      <formula>0</formula>
    </cfRule>
  </conditionalFormatting>
  <conditionalFormatting sqref="AF64">
    <cfRule type="cellIs" dxfId="34" priority="30" operator="lessThan">
      <formula>0</formula>
    </cfRule>
    <cfRule type="cellIs" dxfId="33" priority="29" operator="greaterThan">
      <formula>0</formula>
    </cfRule>
  </conditionalFormatting>
  <conditionalFormatting sqref="AO61">
    <cfRule type="cellIs" dxfId="32" priority="28" operator="lessThan">
      <formula>0</formula>
    </cfRule>
    <cfRule type="cellIs" dxfId="31" priority="27" operator="greaterThan">
      <formula>0</formula>
    </cfRule>
  </conditionalFormatting>
  <conditionalFormatting sqref="AO64">
    <cfRule type="cellIs" dxfId="30" priority="25" operator="greaterThan">
      <formula>0</formula>
    </cfRule>
    <cfRule type="cellIs" dxfId="29" priority="26" operator="lessThan">
      <formula>0</formula>
    </cfRule>
  </conditionalFormatting>
  <conditionalFormatting sqref="AX61">
    <cfRule type="cellIs" dxfId="28" priority="23" operator="greaterThan">
      <formula>0</formula>
    </cfRule>
    <cfRule type="cellIs" dxfId="27" priority="24" operator="lessThan">
      <formula>0</formula>
    </cfRule>
  </conditionalFormatting>
  <conditionalFormatting sqref="AX64">
    <cfRule type="cellIs" dxfId="26" priority="21" operator="greaterThan">
      <formula>0</formula>
    </cfRule>
    <cfRule type="cellIs" dxfId="25" priority="22" operator="lessThan">
      <formula>0</formula>
    </cfRule>
  </conditionalFormatting>
  <conditionalFormatting sqref="BG61">
    <cfRule type="cellIs" dxfId="24" priority="20" operator="lessThan">
      <formula>0</formula>
    </cfRule>
    <cfRule type="cellIs" dxfId="23" priority="19" operator="greaterThan">
      <formula>0</formula>
    </cfRule>
  </conditionalFormatting>
  <conditionalFormatting sqref="BG64">
    <cfRule type="cellIs" dxfId="22" priority="18" operator="lessThan">
      <formula>0</formula>
    </cfRule>
    <cfRule type="cellIs" dxfId="21" priority="17" operator="greaterThan">
      <formula>0</formula>
    </cfRule>
  </conditionalFormatting>
  <conditionalFormatting sqref="BP61">
    <cfRule type="cellIs" dxfId="20" priority="16" operator="lessThan">
      <formula>0</formula>
    </cfRule>
    <cfRule type="cellIs" dxfId="19" priority="15" operator="greaterThan">
      <formula>0</formula>
    </cfRule>
  </conditionalFormatting>
  <conditionalFormatting sqref="BP64">
    <cfRule type="cellIs" dxfId="18" priority="14" operator="lessThan">
      <formula>0</formula>
    </cfRule>
    <cfRule type="cellIs" dxfId="17" priority="13" operator="greaterThan">
      <formula>0</formula>
    </cfRule>
  </conditionalFormatting>
  <conditionalFormatting sqref="BY61">
    <cfRule type="cellIs" dxfId="16" priority="12" operator="lessThan">
      <formula>0</formula>
    </cfRule>
    <cfRule type="cellIs" dxfId="15" priority="11" operator="greaterThan">
      <formula>0</formula>
    </cfRule>
  </conditionalFormatting>
  <conditionalFormatting sqref="BY64">
    <cfRule type="cellIs" dxfId="14" priority="10" operator="lessThan">
      <formula>0</formula>
    </cfRule>
    <cfRule type="cellIs" dxfId="13" priority="9" operator="greaterThan">
      <formula>0</formula>
    </cfRule>
  </conditionalFormatting>
  <conditionalFormatting sqref="CH61">
    <cfRule type="cellIs" dxfId="12" priority="8" operator="lessThan">
      <formula>0</formula>
    </cfRule>
    <cfRule type="cellIs" dxfId="11" priority="7" operator="greaterThan">
      <formula>0</formula>
    </cfRule>
  </conditionalFormatting>
  <conditionalFormatting sqref="CH64">
    <cfRule type="cellIs" dxfId="10" priority="6" operator="lessThan">
      <formula>0</formula>
    </cfRule>
    <cfRule type="cellIs" dxfId="9" priority="5" operator="greaterThan">
      <formula>0</formula>
    </cfRule>
  </conditionalFormatting>
  <conditionalFormatting sqref="CQ61">
    <cfRule type="cellIs" dxfId="8" priority="4" operator="lessThan">
      <formula>0</formula>
    </cfRule>
    <cfRule type="cellIs" dxfId="7" priority="3" operator="greaterThan">
      <formula>0</formula>
    </cfRule>
  </conditionalFormatting>
  <conditionalFormatting sqref="CQ64">
    <cfRule type="cellIs" dxfId="6" priority="1" operator="greaterThan">
      <formula>0</formula>
    </cfRule>
    <cfRule type="cellIs" dxfId="5" priority="2" operator="lessThan">
      <formula>0</formula>
    </cfRule>
  </conditionalFormatting>
  <conditionalFormatting sqref="CS61:CT61">
    <cfRule type="cellIs" dxfId="4" priority="96" operator="greaterThan">
      <formula>0</formula>
    </cfRule>
    <cfRule type="cellIs" dxfId="3" priority="97" operator="lessThan">
      <formula>0</formula>
    </cfRule>
  </conditionalFormatting>
  <conditionalFormatting sqref="CS64:CT64">
    <cfRule type="cellIs" dxfId="2" priority="80" operator="greaterThan">
      <formula>0</formula>
    </cfRule>
    <cfRule type="cellIs" dxfId="1" priority="81" operator="lessThan">
      <formula>0</formula>
    </cfRule>
  </conditionalFormatting>
  <conditionalFormatting sqref="CS69:CT69">
    <cfRule type="cellIs" dxfId="0" priority="41" operator="greaterThanOrEqual">
      <formula>0.1</formula>
    </cfRule>
  </conditionalFormatting>
  <dataValidations count="1">
    <dataValidation allowBlank="1" showErrorMessage="1" sqref="CH48 W48 AX48 BG48 BP48 BY48 CQ48 CL48 CC48 BT48 BK48 BB48 AS48 AJ48 AA48 R48 I48 N48" xr:uid="{157544F3-5FF0-4B2A-B604-1862FC02D3C8}"/>
  </dataValidations>
  <printOptions horizontalCentered="1"/>
  <pageMargins left="0.5" right="0.5" top="0.5" bottom="0.5" header="0" footer="0"/>
  <pageSetup scale="2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4" id="{B1641CBE-5EB1-4188-B88F-875F5BBDAF38}">
            <xm:f>$A$5&gt;lists!$H$3</xm:f>
            <x14:dxf>
              <font>
                <color rgb="FFFF0000"/>
              </font>
              <fill>
                <patternFill>
                  <bgColor theme="5" tint="0.59996337778862885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expression" priority="105" id="{70391C85-079A-4A90-A53C-01ECB6C1520F}">
            <xm:f>$A$6&gt;lists!$H$3</xm:f>
            <x14:dxf>
              <font>
                <color rgb="FFFF0000"/>
              </font>
              <fill>
                <patternFill>
                  <bgColor theme="5" tint="0.59996337778862885"/>
                </patternFill>
              </fill>
            </x14:dxf>
          </x14:cfRule>
          <xm:sqref>B6</xm:sqref>
        </x14:conditionalFormatting>
        <x14:conditionalFormatting xmlns:xm="http://schemas.microsoft.com/office/excel/2006/main">
          <x14:cfRule type="expression" priority="106" id="{D586B390-CB3D-4408-AB22-587B45EF61EF}">
            <xm:f>$A$7&gt;lists!$H$3</xm:f>
            <x14:dxf>
              <font>
                <color rgb="FFFF0000"/>
              </font>
              <fill>
                <patternFill>
                  <bgColor theme="5" tint="0.59996337778862885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expression" priority="107" id="{B5FC52C7-D4BA-4B28-A367-6B9485A7831E}">
            <xm:f>$A$8&gt;lists!$H$3</xm:f>
            <x14:dxf>
              <font>
                <color rgb="FFFF0000"/>
              </font>
              <fill>
                <patternFill>
                  <bgColor theme="5" tint="0.59996337778862885"/>
                </patternFill>
              </fill>
            </x14:dxf>
          </x14:cfRule>
          <xm:sqref>B8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 xr:uid="{00000000-0002-0000-0200-000001000000}">
          <x14:formula1>
            <xm:f>lists!$D$3:$D$4</xm:f>
          </x14:formula1>
          <xm:sqref>G56</xm:sqref>
        </x14:dataValidation>
        <x14:dataValidation type="list" allowBlank="1" showErrorMessage="1" xr:uid="{69010213-6DE5-224C-A751-24975C160AAA}">
          <x14:formula1>
            <xm:f>lists!$A$3:$A$19</xm:f>
          </x14:formula1>
          <xm:sqref>CP2 CG2 N46:N47 AE2 AN2 AW2 BF2 BO2 BX2 W46:W47 BG46:BG47 BP46:BP47 BY46:BY47 CH46:CH47 CQ46:CQ47</xm:sqref>
        </x14:dataValidation>
        <x14:dataValidation type="list" allowBlank="1" showErrorMessage="1" xr:uid="{00000000-0002-0000-0200-000005000000}">
          <x14:formula1>
            <xm:f>lists!$E$3:$E$8</xm:f>
          </x14:formula1>
          <xm:sqref>H57</xm:sqref>
        </x14:dataValidation>
        <x14:dataValidation type="list" allowBlank="1" showInputMessage="1" showErrorMessage="1" xr:uid="{4B2E7906-630D-794B-BA1F-E9F06D1D8671}">
          <x14:formula1>
            <xm:f>lists!$A$3:$A$19</xm:f>
          </x14:formula1>
          <xm:sqref>M2 V2 AF46:AF47 AO46:AO47</xm:sqref>
        </x14:dataValidation>
        <x14:dataValidation type="list" allowBlank="1" showErrorMessage="1" xr:uid="{60B12255-470C-49BB-8798-697E950483D9}">
          <x14:formula1>
            <xm:f>lists!$B$3:$B$10</xm:f>
          </x14:formula1>
          <xm:sqref>D5:D8 D11:D13</xm:sqref>
        </x14:dataValidation>
        <x14:dataValidation type="list" allowBlank="1" showErrorMessage="1" xr:uid="{D5A9F239-1713-42D2-816C-F11BCDAA6FE6}">
          <x14:formula1>
            <xm:f>lists!$C$3:$C$6</xm:f>
          </x14:formula1>
          <xm:sqref>I46:I47 R46:R47 AA46:AA47 AJ46:AJ47 AS46:AS47 BB46:BB47 BK46:BK47 BT46:BT47 CC46:CC47 CL46:CL47</xm:sqref>
        </x14:dataValidation>
        <x14:dataValidation type="list" allowBlank="1" showErrorMessage="1" xr:uid="{66CD071E-3F77-4016-A240-CC8BA770FEF0}">
          <x14:formula1>
            <xm:f>lists!$A$3:$A$20</xm:f>
          </x14:formula1>
          <xm:sqref>AX46:AX47</xm:sqref>
        </x14:dataValidation>
        <x14:dataValidation type="list" allowBlank="1" showErrorMessage="1" xr:uid="{00000000-0002-0000-0200-000000000000}">
          <x14:formula1>
            <xm:f>lists!#REF!</xm:f>
          </x14:formula1>
          <xm:sqref>E24 L2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AO75"/>
  <sheetViews>
    <sheetView zoomScale="150" zoomScaleNormal="150" workbookViewId="0"/>
  </sheetViews>
  <sheetFormatPr defaultColWidth="14.453125" defaultRowHeight="15" customHeight="1" x14ac:dyDescent="0.25"/>
  <cols>
    <col min="1" max="1" width="5.7265625" bestFit="1" customWidth="1"/>
    <col min="2" max="2" width="8" customWidth="1"/>
    <col min="4" max="4" width="1.453125" customWidth="1"/>
    <col min="5" max="5" width="7.1796875" style="106" bestFit="1" customWidth="1"/>
    <col min="6" max="6" width="3.54296875" style="106" customWidth="1"/>
    <col min="7" max="7" width="9.453125" customWidth="1"/>
    <col min="8" max="8" width="7.453125" customWidth="1"/>
    <col min="9" max="10" width="7" customWidth="1"/>
    <col min="11" max="11" width="5.81640625" customWidth="1"/>
    <col min="12" max="12" width="7.453125" customWidth="1"/>
    <col min="13" max="13" width="3.54296875" customWidth="1"/>
    <col min="14" max="14" width="13.1796875" customWidth="1"/>
    <col min="15" max="15" width="9" customWidth="1"/>
    <col min="16" max="16" width="4.81640625" customWidth="1"/>
    <col min="17" max="17" width="11.1796875" customWidth="1"/>
    <col min="18" max="18" width="8.1796875" customWidth="1"/>
    <col min="19" max="19" width="4" customWidth="1"/>
    <col min="20" max="20" width="14.54296875" bestFit="1" customWidth="1"/>
    <col min="21" max="23" width="10.453125" customWidth="1"/>
    <col min="24" max="24" width="9" customWidth="1"/>
    <col min="25" max="25" width="9.81640625" bestFit="1" customWidth="1"/>
    <col min="26" max="26" width="3.453125" customWidth="1"/>
    <col min="27" max="27" width="9.54296875" bestFit="1" customWidth="1"/>
    <col min="28" max="37" width="7.81640625" customWidth="1"/>
    <col min="38" max="38" width="8.453125" customWidth="1"/>
    <col min="39" max="39" width="3.453125" style="47" customWidth="1"/>
    <col min="40" max="41" width="6.453125" style="47" bestFit="1" customWidth="1"/>
  </cols>
  <sheetData>
    <row r="1" spans="1:38" ht="15" customHeight="1" thickBot="1" x14ac:dyDescent="0.3">
      <c r="A1" s="234" t="s">
        <v>197</v>
      </c>
      <c r="B1" s="351" t="s">
        <v>55</v>
      </c>
      <c r="C1" s="352"/>
      <c r="D1" s="353"/>
      <c r="E1" s="234" t="s">
        <v>198</v>
      </c>
      <c r="F1" s="107"/>
      <c r="G1" s="345" t="s">
        <v>100</v>
      </c>
      <c r="H1" s="345"/>
      <c r="I1" s="345"/>
      <c r="J1" s="345"/>
      <c r="K1" s="345"/>
      <c r="L1" s="345"/>
      <c r="M1" s="107"/>
      <c r="N1" s="345" t="s">
        <v>101</v>
      </c>
      <c r="O1" s="345"/>
      <c r="P1" s="345"/>
      <c r="Q1" s="345"/>
      <c r="R1" s="345"/>
      <c r="S1" s="107"/>
      <c r="T1" s="345" t="s">
        <v>102</v>
      </c>
      <c r="U1" s="345"/>
      <c r="V1" s="345"/>
      <c r="W1" s="345"/>
      <c r="X1" s="345"/>
      <c r="Y1" s="345"/>
      <c r="Z1" s="107"/>
      <c r="AA1" s="343" t="s">
        <v>293</v>
      </c>
      <c r="AB1" s="344"/>
      <c r="AC1" s="344"/>
      <c r="AD1" s="344"/>
      <c r="AE1" s="293"/>
      <c r="AF1" s="293"/>
    </row>
    <row r="2" spans="1:38" ht="10.5" customHeight="1" x14ac:dyDescent="0.25">
      <c r="A2" s="246">
        <v>0</v>
      </c>
      <c r="B2" s="348" t="s">
        <v>57</v>
      </c>
      <c r="C2" s="349"/>
      <c r="D2" s="350"/>
      <c r="E2" s="246">
        <v>0</v>
      </c>
      <c r="F2" s="108"/>
      <c r="G2" s="5" t="s">
        <v>104</v>
      </c>
      <c r="H2" s="252"/>
      <c r="I2" s="252"/>
      <c r="J2" s="252"/>
      <c r="K2" s="252"/>
      <c r="L2" s="252"/>
      <c r="M2" s="108"/>
      <c r="N2" s="5" t="s">
        <v>105</v>
      </c>
      <c r="O2" s="252"/>
      <c r="P2" s="252"/>
      <c r="Q2" s="252"/>
      <c r="R2" s="252"/>
      <c r="S2" s="108"/>
      <c r="T2" s="280" t="s">
        <v>106</v>
      </c>
      <c r="U2" s="301"/>
      <c r="V2" s="301"/>
      <c r="W2" s="301"/>
      <c r="X2" s="295"/>
      <c r="Y2" s="296"/>
      <c r="Z2" s="294"/>
      <c r="AA2" s="283"/>
      <c r="AB2" s="291" t="s">
        <v>107</v>
      </c>
      <c r="AC2" s="291" t="s">
        <v>108</v>
      </c>
      <c r="AD2" s="291" t="s">
        <v>109</v>
      </c>
      <c r="AE2" s="291" t="s">
        <v>110</v>
      </c>
      <c r="AF2" s="291" t="s">
        <v>111</v>
      </c>
      <c r="AG2" s="291" t="s">
        <v>190</v>
      </c>
      <c r="AH2" s="291" t="s">
        <v>191</v>
      </c>
      <c r="AI2" s="291" t="s">
        <v>192</v>
      </c>
      <c r="AJ2" s="291" t="s">
        <v>193</v>
      </c>
      <c r="AK2" s="292" t="s">
        <v>194</v>
      </c>
    </row>
    <row r="3" spans="1:38" ht="10.5" customHeight="1" x14ac:dyDescent="0.25">
      <c r="A3" s="246">
        <v>0</v>
      </c>
      <c r="B3" s="348" t="s">
        <v>59</v>
      </c>
      <c r="C3" s="349"/>
      <c r="D3" s="350"/>
      <c r="E3" s="246">
        <v>0</v>
      </c>
      <c r="F3" s="108"/>
      <c r="G3" s="5"/>
      <c r="H3" s="19" t="s">
        <v>112</v>
      </c>
      <c r="I3" s="18" t="s">
        <v>113</v>
      </c>
      <c r="J3" s="18" t="s">
        <v>114</v>
      </c>
      <c r="K3" s="18" t="s">
        <v>115</v>
      </c>
      <c r="L3" s="18" t="s">
        <v>46</v>
      </c>
      <c r="M3" s="108"/>
      <c r="N3" s="5"/>
      <c r="O3" s="18" t="s">
        <v>112</v>
      </c>
      <c r="P3" s="18" t="s">
        <v>116</v>
      </c>
      <c r="Q3" s="18" t="s">
        <v>117</v>
      </c>
      <c r="R3" s="18" t="s">
        <v>46</v>
      </c>
      <c r="S3" s="108"/>
      <c r="T3" s="295"/>
      <c r="U3" s="295" t="s">
        <v>64</v>
      </c>
      <c r="V3" s="295" t="s">
        <v>56</v>
      </c>
      <c r="W3" s="295" t="s">
        <v>297</v>
      </c>
      <c r="X3" s="295" t="s">
        <v>69</v>
      </c>
      <c r="Y3" s="296"/>
      <c r="Z3" s="294"/>
      <c r="AA3" s="288" t="s">
        <v>294</v>
      </c>
      <c r="AB3" s="281">
        <f>'COS Internal Budget'!N56</f>
        <v>0</v>
      </c>
      <c r="AC3" s="281">
        <f>'COS Internal Budget'!W56</f>
        <v>0</v>
      </c>
      <c r="AD3" s="281">
        <f>'COS Internal Budget'!AF56</f>
        <v>0</v>
      </c>
      <c r="AE3" s="281">
        <f>'COS Internal Budget'!AO56</f>
        <v>0</v>
      </c>
      <c r="AF3" s="281">
        <f>'COS Internal Budget'!AX56</f>
        <v>0</v>
      </c>
      <c r="AG3" s="281">
        <f>'COS Internal Budget'!BG56</f>
        <v>0</v>
      </c>
      <c r="AH3" s="281">
        <f>'COS Internal Budget'!BP56</f>
        <v>0</v>
      </c>
      <c r="AI3" s="281">
        <f>'COS Internal Budget'!BY56</f>
        <v>0</v>
      </c>
      <c r="AJ3" s="281">
        <f>'COS Internal Budget'!CH56</f>
        <v>0</v>
      </c>
      <c r="AK3" s="284">
        <f>'COS Internal Budget'!CQ56</f>
        <v>0</v>
      </c>
    </row>
    <row r="4" spans="1:38" ht="10.5" customHeight="1" x14ac:dyDescent="0.25">
      <c r="A4" s="246">
        <v>0</v>
      </c>
      <c r="B4" s="348" t="s">
        <v>61</v>
      </c>
      <c r="C4" s="349"/>
      <c r="D4" s="350"/>
      <c r="E4" s="246">
        <v>0</v>
      </c>
      <c r="F4" s="108"/>
      <c r="G4" s="15" t="s">
        <v>119</v>
      </c>
      <c r="H4" s="247">
        <v>0</v>
      </c>
      <c r="I4" s="248">
        <v>0</v>
      </c>
      <c r="J4" s="248">
        <v>0</v>
      </c>
      <c r="K4" s="248">
        <v>0</v>
      </c>
      <c r="L4" s="21">
        <f t="shared" ref="L4:L9" si="0">ROUND(H4*I4*J4*K4,0)</f>
        <v>0</v>
      </c>
      <c r="M4" s="108"/>
      <c r="N4" s="5" t="s">
        <v>120</v>
      </c>
      <c r="O4" s="22"/>
      <c r="P4" s="13"/>
      <c r="Q4" s="23"/>
      <c r="R4" s="24"/>
      <c r="S4" s="108"/>
      <c r="T4" s="295" t="s">
        <v>299</v>
      </c>
      <c r="U4" s="297">
        <v>0</v>
      </c>
      <c r="V4" s="297">
        <v>0</v>
      </c>
      <c r="W4" s="297">
        <v>0</v>
      </c>
      <c r="X4" s="297">
        <v>0</v>
      </c>
      <c r="Y4" s="296"/>
      <c r="Z4" s="294"/>
      <c r="AA4" s="289" t="s">
        <v>295</v>
      </c>
      <c r="AB4" s="282">
        <v>0.52</v>
      </c>
      <c r="AC4" s="282">
        <v>0.52</v>
      </c>
      <c r="AD4" s="282">
        <v>0.52</v>
      </c>
      <c r="AE4" s="282">
        <v>0.52</v>
      </c>
      <c r="AF4" s="282">
        <v>0.52</v>
      </c>
      <c r="AG4" s="282">
        <v>0.52</v>
      </c>
      <c r="AH4" s="282">
        <v>0.52</v>
      </c>
      <c r="AI4" s="282">
        <v>0.52</v>
      </c>
      <c r="AJ4" s="282">
        <v>0.52</v>
      </c>
      <c r="AK4" s="285">
        <v>0.52</v>
      </c>
    </row>
    <row r="5" spans="1:38" ht="10.5" customHeight="1" thickBot="1" x14ac:dyDescent="0.3">
      <c r="A5" s="244">
        <f>A2*((A3*4.5)+A4)</f>
        <v>0</v>
      </c>
      <c r="B5" s="355" t="s">
        <v>42</v>
      </c>
      <c r="C5" s="356"/>
      <c r="D5" s="357"/>
      <c r="E5" s="244">
        <f>E2*((E3*4.5)+E4)</f>
        <v>0</v>
      </c>
      <c r="F5" s="108"/>
      <c r="G5" s="15" t="s">
        <v>122</v>
      </c>
      <c r="H5" s="249">
        <v>0</v>
      </c>
      <c r="I5" s="248">
        <v>0</v>
      </c>
      <c r="J5" s="248">
        <v>0</v>
      </c>
      <c r="K5" s="248">
        <v>0</v>
      </c>
      <c r="L5" s="21">
        <f t="shared" si="0"/>
        <v>0</v>
      </c>
      <c r="M5" s="108"/>
      <c r="N5" s="15" t="s">
        <v>179</v>
      </c>
      <c r="O5" s="249">
        <v>0</v>
      </c>
      <c r="P5" s="248">
        <v>0</v>
      </c>
      <c r="Q5" s="254">
        <v>1</v>
      </c>
      <c r="R5" s="21">
        <f t="shared" ref="R5:R7" si="1">ROUND(O5*P5*Q5,0)</f>
        <v>0</v>
      </c>
      <c r="S5" s="108"/>
      <c r="T5" s="295" t="s">
        <v>298</v>
      </c>
      <c r="U5" s="298">
        <v>0</v>
      </c>
      <c r="V5" s="298">
        <v>0</v>
      </c>
      <c r="W5" s="298">
        <v>0</v>
      </c>
      <c r="X5" s="298">
        <v>0</v>
      </c>
      <c r="Y5" s="299" t="s">
        <v>46</v>
      </c>
      <c r="Z5" s="294"/>
      <c r="AA5" s="290" t="s">
        <v>296</v>
      </c>
      <c r="AB5" s="286">
        <f>'COS Internal Budget'!N57</f>
        <v>0</v>
      </c>
      <c r="AC5" s="286">
        <f>'COS Internal Budget'!W57</f>
        <v>0</v>
      </c>
      <c r="AD5" s="286">
        <f>'COS Internal Budget'!AF57</f>
        <v>0</v>
      </c>
      <c r="AE5" s="286">
        <f>'COS Internal Budget'!AO57</f>
        <v>0</v>
      </c>
      <c r="AF5" s="286">
        <f>'COS Internal Budget'!AX57</f>
        <v>0</v>
      </c>
      <c r="AG5" s="286">
        <f>'COS Internal Budget'!BG57</f>
        <v>0</v>
      </c>
      <c r="AH5" s="286">
        <f>'COS Internal Budget'!BP57</f>
        <v>0</v>
      </c>
      <c r="AI5" s="286">
        <f>'COS Internal Budget'!BY57</f>
        <v>0</v>
      </c>
      <c r="AJ5" s="286">
        <f>'COS Internal Budget'!CH57</f>
        <v>0</v>
      </c>
      <c r="AK5" s="287">
        <f>'COS Internal Budget'!CQ57</f>
        <v>0</v>
      </c>
    </row>
    <row r="6" spans="1:38" ht="10.5" customHeight="1" x14ac:dyDescent="0.25">
      <c r="A6" s="244">
        <f>A3*A2</f>
        <v>0</v>
      </c>
      <c r="B6" s="355" t="s">
        <v>63</v>
      </c>
      <c r="C6" s="356"/>
      <c r="D6" s="357"/>
      <c r="E6" s="244">
        <f>E3*E2</f>
        <v>0</v>
      </c>
      <c r="F6" s="108"/>
      <c r="G6" s="15" t="s">
        <v>124</v>
      </c>
      <c r="H6" s="247">
        <v>0</v>
      </c>
      <c r="I6" s="248">
        <v>0</v>
      </c>
      <c r="J6" s="248">
        <v>0</v>
      </c>
      <c r="K6" s="248">
        <v>0</v>
      </c>
      <c r="L6" s="21">
        <f t="shared" si="0"/>
        <v>0</v>
      </c>
      <c r="M6" s="108"/>
      <c r="N6" s="15" t="s">
        <v>180</v>
      </c>
      <c r="O6" s="249">
        <v>0</v>
      </c>
      <c r="P6" s="248">
        <v>0</v>
      </c>
      <c r="Q6" s="254">
        <v>1</v>
      </c>
      <c r="R6" s="21">
        <f t="shared" si="1"/>
        <v>0</v>
      </c>
      <c r="S6" s="108"/>
      <c r="T6" s="295" t="s">
        <v>46</v>
      </c>
      <c r="U6" s="302">
        <f>U4*U5</f>
        <v>0</v>
      </c>
      <c r="V6" s="302">
        <f t="shared" ref="V6:X6" si="2">V4*V5</f>
        <v>0</v>
      </c>
      <c r="W6" s="302">
        <f t="shared" si="2"/>
        <v>0</v>
      </c>
      <c r="X6" s="302">
        <f t="shared" si="2"/>
        <v>0</v>
      </c>
      <c r="Y6" s="303">
        <f>SUM(U6:X6)</f>
        <v>0</v>
      </c>
      <c r="Z6" s="300"/>
    </row>
    <row r="7" spans="1:38" ht="10.5" customHeight="1" x14ac:dyDescent="0.25">
      <c r="A7" s="14"/>
      <c r="B7" s="354"/>
      <c r="C7" s="354"/>
      <c r="D7" s="354"/>
      <c r="E7" s="56"/>
      <c r="F7" s="108"/>
      <c r="G7" s="15" t="s">
        <v>126</v>
      </c>
      <c r="H7" s="247">
        <f>ROUND(10.1+13.3+26.3,0)</f>
        <v>50</v>
      </c>
      <c r="I7" s="248">
        <v>0</v>
      </c>
      <c r="J7" s="248">
        <v>0</v>
      </c>
      <c r="K7" s="248">
        <v>0</v>
      </c>
      <c r="L7" s="21">
        <f t="shared" si="0"/>
        <v>0</v>
      </c>
      <c r="M7" s="108"/>
      <c r="N7" s="15" t="s">
        <v>181</v>
      </c>
      <c r="O7" s="249">
        <v>0</v>
      </c>
      <c r="P7" s="248">
        <v>0</v>
      </c>
      <c r="Q7" s="254">
        <v>1</v>
      </c>
      <c r="R7" s="21">
        <f t="shared" si="1"/>
        <v>0</v>
      </c>
      <c r="S7" s="108"/>
      <c r="Z7" s="108"/>
    </row>
    <row r="8" spans="1:38" ht="10.5" customHeight="1" x14ac:dyDescent="0.25">
      <c r="A8" s="236" t="s">
        <v>240</v>
      </c>
      <c r="B8" s="351" t="s">
        <v>65</v>
      </c>
      <c r="C8" s="352"/>
      <c r="D8" s="353"/>
      <c r="E8" s="235" t="s">
        <v>239</v>
      </c>
      <c r="F8" s="108"/>
      <c r="G8" s="15" t="s">
        <v>128</v>
      </c>
      <c r="H8" s="247">
        <v>0</v>
      </c>
      <c r="I8" s="248">
        <v>0</v>
      </c>
      <c r="J8" s="248">
        <v>0</v>
      </c>
      <c r="K8" s="248">
        <v>0</v>
      </c>
      <c r="L8" s="21">
        <f t="shared" si="0"/>
        <v>0</v>
      </c>
      <c r="M8" s="108"/>
      <c r="N8" s="15" t="s">
        <v>182</v>
      </c>
      <c r="O8" s="249">
        <v>0</v>
      </c>
      <c r="P8" s="248">
        <v>0</v>
      </c>
      <c r="Q8" s="254">
        <v>1</v>
      </c>
      <c r="R8" s="21">
        <f t="shared" ref="R8" si="3">ROUND(O8*P8*Q8,0)</f>
        <v>0</v>
      </c>
      <c r="S8" s="108"/>
      <c r="T8" s="280" t="s">
        <v>106</v>
      </c>
      <c r="U8" s="301"/>
      <c r="V8" s="301"/>
      <c r="W8" s="301"/>
      <c r="X8" s="295"/>
      <c r="Y8" s="296"/>
      <c r="Z8" s="108"/>
    </row>
    <row r="9" spans="1:38" ht="10.5" customHeight="1" x14ac:dyDescent="0.25">
      <c r="A9" s="237">
        <v>0</v>
      </c>
      <c r="B9" s="348" t="s">
        <v>68</v>
      </c>
      <c r="C9" s="349"/>
      <c r="D9" s="350"/>
      <c r="E9" s="239">
        <v>0</v>
      </c>
      <c r="F9" s="108"/>
      <c r="G9" s="15" t="s">
        <v>131</v>
      </c>
      <c r="H9" s="250">
        <v>0</v>
      </c>
      <c r="I9" s="251">
        <v>0</v>
      </c>
      <c r="J9" s="251">
        <v>0</v>
      </c>
      <c r="K9" s="251">
        <v>0</v>
      </c>
      <c r="L9" s="25">
        <f t="shared" si="0"/>
        <v>0</v>
      </c>
      <c r="M9" s="108"/>
      <c r="N9" s="15" t="s">
        <v>183</v>
      </c>
      <c r="O9" s="249">
        <v>0</v>
      </c>
      <c r="P9" s="248">
        <v>0</v>
      </c>
      <c r="Q9" s="254">
        <v>1</v>
      </c>
      <c r="R9" s="25">
        <f>ROUND(O9*P9*Q9,0)</f>
        <v>0</v>
      </c>
      <c r="S9" s="108"/>
      <c r="T9" s="295"/>
      <c r="U9" s="295" t="s">
        <v>64</v>
      </c>
      <c r="V9" s="295" t="s">
        <v>56</v>
      </c>
      <c r="W9" s="295" t="s">
        <v>297</v>
      </c>
      <c r="X9" s="295" t="s">
        <v>69</v>
      </c>
      <c r="Y9" s="296"/>
      <c r="Z9" s="108"/>
      <c r="AA9" s="17" t="s">
        <v>236</v>
      </c>
      <c r="AB9" s="5"/>
      <c r="AC9" s="253" t="s">
        <v>103</v>
      </c>
      <c r="AD9" s="253"/>
      <c r="AE9" s="39"/>
      <c r="AF9" s="5"/>
      <c r="AG9" s="5"/>
      <c r="AH9" s="39"/>
      <c r="AI9" s="5"/>
      <c r="AJ9" s="5"/>
      <c r="AK9" s="5"/>
      <c r="AL9" s="5"/>
    </row>
    <row r="10" spans="1:38" ht="10.5" customHeight="1" x14ac:dyDescent="0.25">
      <c r="A10" s="237">
        <v>0</v>
      </c>
      <c r="B10" s="348" t="s">
        <v>70</v>
      </c>
      <c r="C10" s="349"/>
      <c r="D10" s="350"/>
      <c r="E10" s="239">
        <v>0</v>
      </c>
      <c r="F10" s="108"/>
      <c r="G10" s="5" t="s">
        <v>46</v>
      </c>
      <c r="H10" s="20"/>
      <c r="J10" s="55"/>
      <c r="K10" s="20"/>
      <c r="L10" s="27">
        <f>SUM(L4:L9)</f>
        <v>0</v>
      </c>
      <c r="M10" s="108"/>
      <c r="Q10" s="16" t="str">
        <f>N4&amp;" "&amp;"subtotal"</f>
        <v>Supplies Category 1 subtotal</v>
      </c>
      <c r="R10" s="34">
        <f>SUM(R5:R9)</f>
        <v>0</v>
      </c>
      <c r="S10" s="108"/>
      <c r="T10" s="295" t="s">
        <v>299</v>
      </c>
      <c r="U10" s="297">
        <v>0</v>
      </c>
      <c r="V10" s="297">
        <v>0</v>
      </c>
      <c r="W10" s="297">
        <v>0</v>
      </c>
      <c r="X10" s="297">
        <v>0</v>
      </c>
      <c r="Y10" s="296"/>
      <c r="Z10" s="108"/>
      <c r="AA10" s="5"/>
      <c r="AB10" s="18" t="s">
        <v>107</v>
      </c>
      <c r="AC10" s="18" t="s">
        <v>108</v>
      </c>
      <c r="AD10" s="18" t="s">
        <v>109</v>
      </c>
      <c r="AE10" s="18" t="s">
        <v>110</v>
      </c>
      <c r="AF10" s="18" t="s">
        <v>111</v>
      </c>
      <c r="AG10" s="18" t="s">
        <v>190</v>
      </c>
      <c r="AH10" s="18" t="s">
        <v>191</v>
      </c>
      <c r="AI10" s="18" t="s">
        <v>192</v>
      </c>
      <c r="AJ10" s="18" t="s">
        <v>193</v>
      </c>
      <c r="AK10" s="18" t="s">
        <v>194</v>
      </c>
      <c r="AL10" s="5" t="s">
        <v>9</v>
      </c>
    </row>
    <row r="11" spans="1:38" ht="10.5" customHeight="1" x14ac:dyDescent="0.25">
      <c r="A11" s="238">
        <v>0</v>
      </c>
      <c r="B11" s="348" t="s">
        <v>71</v>
      </c>
      <c r="C11" s="349"/>
      <c r="D11" s="350"/>
      <c r="E11" s="239">
        <v>0</v>
      </c>
      <c r="F11" s="108"/>
      <c r="G11" s="5"/>
      <c r="H11" s="28"/>
      <c r="J11" s="56"/>
      <c r="K11" s="5"/>
      <c r="L11" s="5"/>
      <c r="M11" s="108"/>
      <c r="S11" s="108"/>
      <c r="T11" s="295" t="s">
        <v>298</v>
      </c>
      <c r="U11" s="298">
        <v>0</v>
      </c>
      <c r="V11" s="298">
        <v>0</v>
      </c>
      <c r="W11" s="298">
        <v>0</v>
      </c>
      <c r="X11" s="298">
        <v>0</v>
      </c>
      <c r="Y11" s="299" t="s">
        <v>46</v>
      </c>
      <c r="Z11" s="108"/>
      <c r="AA11" s="15" t="s">
        <v>118</v>
      </c>
      <c r="AB11" s="247">
        <v>0</v>
      </c>
      <c r="AC11" s="247">
        <v>0</v>
      </c>
      <c r="AD11" s="247">
        <v>0</v>
      </c>
      <c r="AE11" s="247">
        <v>0</v>
      </c>
      <c r="AF11" s="247">
        <v>0</v>
      </c>
      <c r="AG11" s="247">
        <v>0</v>
      </c>
      <c r="AH11" s="247">
        <v>0</v>
      </c>
      <c r="AI11" s="247">
        <v>0</v>
      </c>
      <c r="AJ11" s="247">
        <v>0</v>
      </c>
      <c r="AK11" s="247">
        <v>0</v>
      </c>
      <c r="AL11" s="20">
        <f t="shared" ref="AL11:AL12" si="4">SUM(AB11:AK11)</f>
        <v>0</v>
      </c>
    </row>
    <row r="12" spans="1:38" ht="10.5" customHeight="1" x14ac:dyDescent="0.25">
      <c r="A12" s="242">
        <f>A10*2080</f>
        <v>0</v>
      </c>
      <c r="B12" s="358" t="s">
        <v>37</v>
      </c>
      <c r="C12" s="359"/>
      <c r="D12" s="360"/>
      <c r="E12" s="240">
        <f>E10*2080</f>
        <v>0</v>
      </c>
      <c r="F12" s="108"/>
      <c r="G12" s="5"/>
      <c r="H12" s="28"/>
      <c r="I12" s="5"/>
      <c r="J12" s="5"/>
      <c r="K12" s="5"/>
      <c r="L12" s="5"/>
      <c r="M12" s="108"/>
      <c r="N12" s="5" t="s">
        <v>129</v>
      </c>
      <c r="O12" s="22"/>
      <c r="P12" s="13"/>
      <c r="Q12" s="23"/>
      <c r="R12" s="24"/>
      <c r="S12" s="108"/>
      <c r="T12" s="295" t="s">
        <v>46</v>
      </c>
      <c r="U12" s="302">
        <f>U10*U11</f>
        <v>0</v>
      </c>
      <c r="V12" s="302">
        <f t="shared" ref="V12" si="5">V10*V11</f>
        <v>0</v>
      </c>
      <c r="W12" s="302">
        <f t="shared" ref="W12" si="6">W10*W11</f>
        <v>0</v>
      </c>
      <c r="X12" s="302">
        <f t="shared" ref="X12" si="7">X10*X11</f>
        <v>0</v>
      </c>
      <c r="Y12" s="303">
        <f>SUM(U12:X12)</f>
        <v>0</v>
      </c>
      <c r="Z12" s="108"/>
      <c r="AA12" s="15" t="s">
        <v>121</v>
      </c>
      <c r="AB12" s="247">
        <v>0</v>
      </c>
      <c r="AC12" s="247">
        <v>0</v>
      </c>
      <c r="AD12" s="247">
        <v>0</v>
      </c>
      <c r="AE12" s="247">
        <v>0</v>
      </c>
      <c r="AF12" s="247">
        <v>0</v>
      </c>
      <c r="AG12" s="247">
        <v>0</v>
      </c>
      <c r="AH12" s="247">
        <v>0</v>
      </c>
      <c r="AI12" s="247">
        <v>0</v>
      </c>
      <c r="AJ12" s="247">
        <v>0</v>
      </c>
      <c r="AK12" s="247">
        <v>0</v>
      </c>
      <c r="AL12" s="20">
        <f t="shared" si="4"/>
        <v>0</v>
      </c>
    </row>
    <row r="13" spans="1:38" ht="10.5" customHeight="1" x14ac:dyDescent="0.25">
      <c r="A13" s="243">
        <f>A11/2080*12*A9</f>
        <v>0</v>
      </c>
      <c r="B13" s="361" t="s">
        <v>42</v>
      </c>
      <c r="C13" s="362"/>
      <c r="D13" s="363"/>
      <c r="E13" s="241">
        <f>E11/2080*12*E9</f>
        <v>0</v>
      </c>
      <c r="F13" s="108"/>
      <c r="G13" s="5" t="s">
        <v>104</v>
      </c>
      <c r="H13" s="252"/>
      <c r="I13" s="252"/>
      <c r="J13" s="252"/>
      <c r="K13" s="252"/>
      <c r="L13" s="252"/>
      <c r="M13" s="108"/>
      <c r="N13" s="15" t="s">
        <v>179</v>
      </c>
      <c r="O13" s="249">
        <v>0</v>
      </c>
      <c r="P13" s="248">
        <v>0</v>
      </c>
      <c r="Q13" s="254">
        <v>1</v>
      </c>
      <c r="R13" s="21">
        <f t="shared" ref="R13:R14" si="8">ROUND(O13*P13*Q13,0)</f>
        <v>0</v>
      </c>
      <c r="S13" s="108"/>
      <c r="T13" s="5"/>
      <c r="U13" s="5"/>
      <c r="V13" s="5"/>
      <c r="W13" s="5"/>
      <c r="X13" s="5"/>
      <c r="Y13" s="5"/>
      <c r="Z13" s="108"/>
      <c r="AA13" s="15" t="s">
        <v>123</v>
      </c>
      <c r="AB13" s="247">
        <v>0</v>
      </c>
      <c r="AC13" s="247">
        <v>0</v>
      </c>
      <c r="AD13" s="247">
        <v>0</v>
      </c>
      <c r="AE13" s="247">
        <v>0</v>
      </c>
      <c r="AF13" s="247">
        <v>0</v>
      </c>
      <c r="AG13" s="247">
        <v>0</v>
      </c>
      <c r="AH13" s="247">
        <v>0</v>
      </c>
      <c r="AI13" s="247">
        <v>0</v>
      </c>
      <c r="AJ13" s="247">
        <v>0</v>
      </c>
      <c r="AK13" s="247">
        <v>0</v>
      </c>
      <c r="AL13" s="20">
        <f t="shared" ref="AL13:AL18" si="9">SUM(AB13:AK13)</f>
        <v>0</v>
      </c>
    </row>
    <row r="14" spans="1:38" ht="10.5" customHeight="1" x14ac:dyDescent="0.25">
      <c r="A14" s="14"/>
      <c r="B14" s="364"/>
      <c r="C14" s="364"/>
      <c r="D14" s="364"/>
      <c r="E14" s="56"/>
      <c r="F14" s="108"/>
      <c r="G14" s="5"/>
      <c r="H14" s="19" t="s">
        <v>112</v>
      </c>
      <c r="I14" s="18" t="s">
        <v>113</v>
      </c>
      <c r="J14" s="18" t="s">
        <v>114</v>
      </c>
      <c r="K14" s="18" t="s">
        <v>115</v>
      </c>
      <c r="L14" s="18" t="s">
        <v>46</v>
      </c>
      <c r="M14" s="108"/>
      <c r="N14" s="15" t="s">
        <v>180</v>
      </c>
      <c r="O14" s="249">
        <v>0</v>
      </c>
      <c r="P14" s="248">
        <v>0</v>
      </c>
      <c r="Q14" s="254">
        <v>1</v>
      </c>
      <c r="R14" s="21">
        <f t="shared" si="8"/>
        <v>0</v>
      </c>
      <c r="S14" s="108"/>
      <c r="T14" s="280" t="s">
        <v>106</v>
      </c>
      <c r="U14" s="301"/>
      <c r="V14" s="301"/>
      <c r="W14" s="301"/>
      <c r="X14" s="295"/>
      <c r="Y14" s="296"/>
      <c r="Z14" s="108"/>
      <c r="AA14" s="15" t="s">
        <v>125</v>
      </c>
      <c r="AB14" s="247">
        <v>0</v>
      </c>
      <c r="AC14" s="247">
        <v>0</v>
      </c>
      <c r="AD14" s="247">
        <v>0</v>
      </c>
      <c r="AE14" s="247">
        <v>0</v>
      </c>
      <c r="AF14" s="247">
        <v>0</v>
      </c>
      <c r="AG14" s="247">
        <v>0</v>
      </c>
      <c r="AH14" s="247">
        <v>0</v>
      </c>
      <c r="AI14" s="247">
        <v>0</v>
      </c>
      <c r="AJ14" s="247">
        <v>0</v>
      </c>
      <c r="AK14" s="247">
        <v>0</v>
      </c>
      <c r="AL14" s="20">
        <f t="shared" si="9"/>
        <v>0</v>
      </c>
    </row>
    <row r="15" spans="1:38" ht="10.5" customHeight="1" x14ac:dyDescent="0.25">
      <c r="A15" s="11"/>
      <c r="B15" s="351" t="s">
        <v>76</v>
      </c>
      <c r="C15" s="352"/>
      <c r="D15" s="353"/>
      <c r="E15" s="235" t="s">
        <v>66</v>
      </c>
      <c r="F15" s="108"/>
      <c r="G15" s="15" t="s">
        <v>119</v>
      </c>
      <c r="H15" s="247">
        <v>0</v>
      </c>
      <c r="I15" s="248">
        <v>0</v>
      </c>
      <c r="J15" s="248">
        <v>0</v>
      </c>
      <c r="K15" s="248">
        <v>0</v>
      </c>
      <c r="L15" s="21">
        <f t="shared" ref="L15:L20" si="10">ROUND(H15*I15*J15*K15,0)</f>
        <v>0</v>
      </c>
      <c r="M15" s="108"/>
      <c r="N15" s="15" t="s">
        <v>181</v>
      </c>
      <c r="O15" s="249">
        <v>0</v>
      </c>
      <c r="P15" s="248">
        <v>0</v>
      </c>
      <c r="Q15" s="254">
        <v>1</v>
      </c>
      <c r="R15" s="21">
        <f t="shared" ref="R15:R16" si="11">ROUND(O15*P15*Q15,0)</f>
        <v>0</v>
      </c>
      <c r="S15" s="108"/>
      <c r="T15" s="295"/>
      <c r="U15" s="295" t="s">
        <v>64</v>
      </c>
      <c r="V15" s="295" t="s">
        <v>56</v>
      </c>
      <c r="W15" s="295" t="s">
        <v>297</v>
      </c>
      <c r="X15" s="295" t="s">
        <v>69</v>
      </c>
      <c r="Y15" s="296"/>
      <c r="Z15" s="108"/>
      <c r="AA15" s="15" t="s">
        <v>127</v>
      </c>
      <c r="AB15" s="247">
        <v>0</v>
      </c>
      <c r="AC15" s="247">
        <v>0</v>
      </c>
      <c r="AD15" s="247">
        <v>0</v>
      </c>
      <c r="AE15" s="247">
        <v>0</v>
      </c>
      <c r="AF15" s="247">
        <v>0</v>
      </c>
      <c r="AG15" s="247">
        <v>0</v>
      </c>
      <c r="AH15" s="247">
        <v>0</v>
      </c>
      <c r="AI15" s="247">
        <v>0</v>
      </c>
      <c r="AJ15" s="247">
        <v>0</v>
      </c>
      <c r="AK15" s="247">
        <v>0</v>
      </c>
      <c r="AL15" s="20">
        <f t="shared" si="9"/>
        <v>0</v>
      </c>
    </row>
    <row r="16" spans="1:38" ht="10.5" customHeight="1" x14ac:dyDescent="0.25">
      <c r="A16" s="14"/>
      <c r="B16" s="348" t="s">
        <v>78</v>
      </c>
      <c r="C16" s="349"/>
      <c r="D16" s="350"/>
      <c r="E16" s="245">
        <v>0</v>
      </c>
      <c r="F16" s="108"/>
      <c r="G16" s="15" t="s">
        <v>122</v>
      </c>
      <c r="H16" s="249">
        <v>0</v>
      </c>
      <c r="I16" s="248">
        <v>0</v>
      </c>
      <c r="J16" s="248">
        <v>0</v>
      </c>
      <c r="K16" s="248">
        <v>0</v>
      </c>
      <c r="L16" s="21">
        <f t="shared" si="10"/>
        <v>0</v>
      </c>
      <c r="M16" s="108"/>
      <c r="N16" s="15" t="s">
        <v>182</v>
      </c>
      <c r="O16" s="249">
        <v>0</v>
      </c>
      <c r="P16" s="248">
        <v>0</v>
      </c>
      <c r="Q16" s="254">
        <v>1</v>
      </c>
      <c r="R16" s="21">
        <f t="shared" si="11"/>
        <v>0</v>
      </c>
      <c r="S16" s="108"/>
      <c r="T16" s="295" t="s">
        <v>299</v>
      </c>
      <c r="U16" s="297">
        <v>0</v>
      </c>
      <c r="V16" s="297">
        <v>0</v>
      </c>
      <c r="W16" s="297">
        <v>0</v>
      </c>
      <c r="X16" s="297">
        <v>0</v>
      </c>
      <c r="Y16" s="296"/>
      <c r="Z16" s="108"/>
      <c r="AA16" s="15" t="s">
        <v>130</v>
      </c>
      <c r="AB16" s="247">
        <v>0</v>
      </c>
      <c r="AC16" s="247">
        <v>0</v>
      </c>
      <c r="AD16" s="247">
        <v>0</v>
      </c>
      <c r="AE16" s="247">
        <v>0</v>
      </c>
      <c r="AF16" s="247">
        <v>0</v>
      </c>
      <c r="AG16" s="247">
        <v>0</v>
      </c>
      <c r="AH16" s="247">
        <v>0</v>
      </c>
      <c r="AI16" s="247">
        <v>0</v>
      </c>
      <c r="AJ16" s="247">
        <v>0</v>
      </c>
      <c r="AK16" s="247">
        <v>0</v>
      </c>
      <c r="AL16" s="20">
        <f t="shared" si="9"/>
        <v>0</v>
      </c>
    </row>
    <row r="17" spans="2:38" ht="10.5" customHeight="1" x14ac:dyDescent="0.25">
      <c r="B17" s="348" t="s">
        <v>82</v>
      </c>
      <c r="C17" s="349"/>
      <c r="D17" s="350"/>
      <c r="E17" s="239">
        <v>0</v>
      </c>
      <c r="F17" s="108"/>
      <c r="G17" s="15" t="s">
        <v>124</v>
      </c>
      <c r="H17" s="247">
        <v>0</v>
      </c>
      <c r="I17" s="248">
        <v>0</v>
      </c>
      <c r="J17" s="248">
        <v>0</v>
      </c>
      <c r="K17" s="248">
        <v>0</v>
      </c>
      <c r="L17" s="21">
        <f t="shared" si="10"/>
        <v>0</v>
      </c>
      <c r="M17" s="108"/>
      <c r="N17" s="15" t="s">
        <v>183</v>
      </c>
      <c r="O17" s="249">
        <v>0</v>
      </c>
      <c r="P17" s="248">
        <v>0</v>
      </c>
      <c r="Q17" s="254">
        <v>1</v>
      </c>
      <c r="R17" s="25">
        <f>ROUND(O17*P17*Q17,0)</f>
        <v>0</v>
      </c>
      <c r="S17" s="108"/>
      <c r="T17" s="295" t="s">
        <v>298</v>
      </c>
      <c r="U17" s="298">
        <v>0</v>
      </c>
      <c r="V17" s="298">
        <v>0</v>
      </c>
      <c r="W17" s="298">
        <v>0</v>
      </c>
      <c r="X17" s="298">
        <v>0</v>
      </c>
      <c r="Y17" s="299" t="s">
        <v>46</v>
      </c>
      <c r="Z17" s="108"/>
      <c r="AA17" s="15" t="s">
        <v>232</v>
      </c>
      <c r="AB17" s="247">
        <v>0</v>
      </c>
      <c r="AC17" s="247">
        <v>0</v>
      </c>
      <c r="AD17" s="247">
        <v>0</v>
      </c>
      <c r="AE17" s="247">
        <v>0</v>
      </c>
      <c r="AF17" s="247">
        <v>0</v>
      </c>
      <c r="AG17" s="247">
        <v>0</v>
      </c>
      <c r="AH17" s="247">
        <v>0</v>
      </c>
      <c r="AI17" s="247">
        <v>0</v>
      </c>
      <c r="AJ17" s="247">
        <v>0</v>
      </c>
      <c r="AK17" s="247">
        <v>0</v>
      </c>
      <c r="AL17" s="20">
        <f t="shared" si="9"/>
        <v>0</v>
      </c>
    </row>
    <row r="18" spans="2:38" ht="10.5" customHeight="1" x14ac:dyDescent="0.25">
      <c r="B18" s="348" t="s">
        <v>80</v>
      </c>
      <c r="C18" s="349"/>
      <c r="D18" s="350"/>
      <c r="E18" s="239">
        <v>0</v>
      </c>
      <c r="F18" s="108"/>
      <c r="G18" s="15" t="s">
        <v>126</v>
      </c>
      <c r="H18" s="247">
        <f>ROUND(10.1+13.3+26.3,0)</f>
        <v>50</v>
      </c>
      <c r="I18" s="248">
        <v>0</v>
      </c>
      <c r="J18" s="248">
        <v>0</v>
      </c>
      <c r="K18" s="248">
        <v>0</v>
      </c>
      <c r="L18" s="21">
        <f t="shared" si="10"/>
        <v>0</v>
      </c>
      <c r="M18" s="108"/>
      <c r="Q18" s="16" t="str">
        <f>N12&amp;" "&amp;"subtotal"</f>
        <v>Supplies Category 2 subtotal</v>
      </c>
      <c r="R18" s="34">
        <f>SUM(R13:R17)</f>
        <v>0</v>
      </c>
      <c r="S18" s="108"/>
      <c r="T18" s="295" t="s">
        <v>46</v>
      </c>
      <c r="U18" s="302">
        <f>U16*U17</f>
        <v>0</v>
      </c>
      <c r="V18" s="302">
        <f t="shared" ref="V18" si="12">V16*V17</f>
        <v>0</v>
      </c>
      <c r="W18" s="302">
        <f t="shared" ref="W18" si="13">W16*W17</f>
        <v>0</v>
      </c>
      <c r="X18" s="302">
        <f t="shared" ref="X18" si="14">X16*X17</f>
        <v>0</v>
      </c>
      <c r="Y18" s="303">
        <f>SUM(U18:X18)</f>
        <v>0</v>
      </c>
      <c r="Z18" s="108"/>
      <c r="AA18" s="15" t="s">
        <v>233</v>
      </c>
      <c r="AB18" s="247">
        <v>0</v>
      </c>
      <c r="AC18" s="247">
        <v>0</v>
      </c>
      <c r="AD18" s="247">
        <v>0</v>
      </c>
      <c r="AE18" s="247">
        <v>0</v>
      </c>
      <c r="AF18" s="247">
        <v>0</v>
      </c>
      <c r="AG18" s="247">
        <v>0</v>
      </c>
      <c r="AH18" s="247">
        <v>0</v>
      </c>
      <c r="AI18" s="247">
        <v>0</v>
      </c>
      <c r="AJ18" s="247">
        <v>0</v>
      </c>
      <c r="AK18" s="247">
        <v>0</v>
      </c>
      <c r="AL18" s="20">
        <f t="shared" si="9"/>
        <v>0</v>
      </c>
    </row>
    <row r="19" spans="2:38" ht="10.5" customHeight="1" x14ac:dyDescent="0.25">
      <c r="B19" s="348" t="s">
        <v>84</v>
      </c>
      <c r="C19" s="349"/>
      <c r="D19" s="350"/>
      <c r="E19" s="238">
        <v>0</v>
      </c>
      <c r="F19" s="108"/>
      <c r="G19" s="15" t="s">
        <v>128</v>
      </c>
      <c r="H19" s="247">
        <v>0</v>
      </c>
      <c r="I19" s="248">
        <v>0</v>
      </c>
      <c r="J19" s="248">
        <v>0</v>
      </c>
      <c r="K19" s="248">
        <v>0</v>
      </c>
      <c r="L19" s="21">
        <f t="shared" si="10"/>
        <v>0</v>
      </c>
      <c r="M19" s="108"/>
      <c r="S19" s="108"/>
      <c r="T19" s="5"/>
      <c r="U19" s="5"/>
      <c r="V19" s="5"/>
      <c r="W19" s="5"/>
      <c r="X19" s="5"/>
      <c r="Y19" s="5"/>
      <c r="Z19" s="108"/>
      <c r="AA19" s="15" t="s">
        <v>234</v>
      </c>
      <c r="AB19" s="247">
        <v>0</v>
      </c>
      <c r="AC19" s="247">
        <v>0</v>
      </c>
      <c r="AD19" s="247">
        <v>0</v>
      </c>
      <c r="AE19" s="247">
        <v>0</v>
      </c>
      <c r="AF19" s="247">
        <v>0</v>
      </c>
      <c r="AG19" s="247">
        <v>0</v>
      </c>
      <c r="AH19" s="247">
        <v>0</v>
      </c>
      <c r="AI19" s="247">
        <v>0</v>
      </c>
      <c r="AJ19" s="247">
        <v>0</v>
      </c>
      <c r="AK19" s="247">
        <v>0</v>
      </c>
      <c r="AL19" s="20">
        <f t="shared" ref="AL19:AL24" si="15">SUM(AB19:AK19)</f>
        <v>0</v>
      </c>
    </row>
    <row r="20" spans="2:38" ht="10.5" customHeight="1" x14ac:dyDescent="0.25">
      <c r="B20" s="365" t="s">
        <v>86</v>
      </c>
      <c r="C20" s="365"/>
      <c r="D20" s="366"/>
      <c r="E20" s="104">
        <f>IF(E16=9,E18+E17,IF(E16=12,E19,0))</f>
        <v>0</v>
      </c>
      <c r="F20" s="108"/>
      <c r="G20" s="15" t="s">
        <v>131</v>
      </c>
      <c r="H20" s="250">
        <v>0</v>
      </c>
      <c r="I20" s="251">
        <v>0</v>
      </c>
      <c r="J20" s="251">
        <v>0</v>
      </c>
      <c r="K20" s="251">
        <v>0</v>
      </c>
      <c r="L20" s="25">
        <f t="shared" si="10"/>
        <v>0</v>
      </c>
      <c r="M20" s="108"/>
      <c r="N20" s="5" t="s">
        <v>133</v>
      </c>
      <c r="O20" s="22"/>
      <c r="P20" s="13"/>
      <c r="Q20" s="23"/>
      <c r="R20" s="24"/>
      <c r="S20" s="108"/>
      <c r="T20" s="280" t="s">
        <v>106</v>
      </c>
      <c r="U20" s="301"/>
      <c r="V20" s="301"/>
      <c r="W20" s="301"/>
      <c r="X20" s="295"/>
      <c r="Y20" s="296"/>
      <c r="Z20" s="108"/>
      <c r="AA20" s="46" t="s">
        <v>235</v>
      </c>
      <c r="AB20" s="255">
        <v>0</v>
      </c>
      <c r="AC20" s="255">
        <v>0</v>
      </c>
      <c r="AD20" s="255">
        <v>0</v>
      </c>
      <c r="AE20" s="255">
        <v>0</v>
      </c>
      <c r="AF20" s="255">
        <v>0</v>
      </c>
      <c r="AG20" s="255">
        <v>0</v>
      </c>
      <c r="AH20" s="255">
        <v>0</v>
      </c>
      <c r="AI20" s="255">
        <v>0</v>
      </c>
      <c r="AJ20" s="255">
        <v>0</v>
      </c>
      <c r="AK20" s="255">
        <v>0</v>
      </c>
      <c r="AL20" s="26">
        <f t="shared" si="15"/>
        <v>0</v>
      </c>
    </row>
    <row r="21" spans="2:38" ht="10.5" customHeight="1" x14ac:dyDescent="0.25">
      <c r="B21" s="346" t="s">
        <v>88</v>
      </c>
      <c r="C21" s="346"/>
      <c r="D21" s="347"/>
      <c r="E21" s="105">
        <f>E20/12</f>
        <v>0</v>
      </c>
      <c r="F21" s="108"/>
      <c r="G21" s="5" t="s">
        <v>46</v>
      </c>
      <c r="H21" s="20"/>
      <c r="I21" s="55"/>
      <c r="J21" s="20"/>
      <c r="K21" s="20"/>
      <c r="L21" s="27">
        <f>SUM(L15:L20)</f>
        <v>0</v>
      </c>
      <c r="M21" s="108"/>
      <c r="N21" s="15" t="s">
        <v>179</v>
      </c>
      <c r="O21" s="249">
        <v>0</v>
      </c>
      <c r="P21" s="248">
        <v>0</v>
      </c>
      <c r="Q21" s="254">
        <v>1</v>
      </c>
      <c r="R21" s="21">
        <f t="shared" ref="R21:R22" si="16">ROUND(O21*P21*Q21,0)</f>
        <v>0</v>
      </c>
      <c r="S21" s="108"/>
      <c r="T21" s="295"/>
      <c r="U21" s="295" t="s">
        <v>64</v>
      </c>
      <c r="V21" s="295" t="s">
        <v>56</v>
      </c>
      <c r="W21" s="295" t="s">
        <v>297</v>
      </c>
      <c r="X21" s="295" t="s">
        <v>69</v>
      </c>
      <c r="Y21" s="296"/>
      <c r="Z21" s="108"/>
      <c r="AA21" s="5" t="s">
        <v>90</v>
      </c>
      <c r="AB21" s="21">
        <f t="shared" ref="AB21:AK21" si="17">SUM(AB11:AB20)</f>
        <v>0</v>
      </c>
      <c r="AC21" s="21">
        <f t="shared" si="17"/>
        <v>0</v>
      </c>
      <c r="AD21" s="21">
        <f t="shared" si="17"/>
        <v>0</v>
      </c>
      <c r="AE21" s="21">
        <f t="shared" si="17"/>
        <v>0</v>
      </c>
      <c r="AF21" s="21">
        <f t="shared" si="17"/>
        <v>0</v>
      </c>
      <c r="AG21" s="21">
        <f t="shared" si="17"/>
        <v>0</v>
      </c>
      <c r="AH21" s="21">
        <f t="shared" si="17"/>
        <v>0</v>
      </c>
      <c r="AI21" s="21">
        <f t="shared" si="17"/>
        <v>0</v>
      </c>
      <c r="AJ21" s="21">
        <f t="shared" si="17"/>
        <v>0</v>
      </c>
      <c r="AK21" s="21">
        <f t="shared" si="17"/>
        <v>0</v>
      </c>
      <c r="AL21" s="20">
        <f t="shared" si="15"/>
        <v>0</v>
      </c>
    </row>
    <row r="22" spans="2:38" ht="10.5" customHeight="1" x14ac:dyDescent="0.25">
      <c r="F22" s="108"/>
      <c r="G22" s="5"/>
      <c r="H22" s="28"/>
      <c r="I22" s="56"/>
      <c r="J22" s="5"/>
      <c r="K22" s="5"/>
      <c r="L22" s="5"/>
      <c r="M22" s="108"/>
      <c r="N22" s="15" t="s">
        <v>180</v>
      </c>
      <c r="O22" s="249">
        <v>0</v>
      </c>
      <c r="P22" s="248">
        <v>0</v>
      </c>
      <c r="Q22" s="254">
        <v>1</v>
      </c>
      <c r="R22" s="21">
        <f t="shared" si="16"/>
        <v>0</v>
      </c>
      <c r="S22" s="108"/>
      <c r="T22" s="295" t="s">
        <v>299</v>
      </c>
      <c r="U22" s="297">
        <v>0</v>
      </c>
      <c r="V22" s="297">
        <v>0</v>
      </c>
      <c r="W22" s="297">
        <v>0</v>
      </c>
      <c r="X22" s="297">
        <v>0</v>
      </c>
      <c r="Y22" s="296"/>
      <c r="Z22" s="108"/>
      <c r="AA22" s="5" t="s">
        <v>94</v>
      </c>
      <c r="AB22" s="256">
        <f t="shared" ref="AB22:AK22" si="18">AB21</f>
        <v>0</v>
      </c>
      <c r="AC22" s="256">
        <f t="shared" si="18"/>
        <v>0</v>
      </c>
      <c r="AD22" s="256">
        <f t="shared" si="18"/>
        <v>0</v>
      </c>
      <c r="AE22" s="256">
        <f t="shared" ref="AE22:AG22" si="19">AE21</f>
        <v>0</v>
      </c>
      <c r="AF22" s="256">
        <f t="shared" si="19"/>
        <v>0</v>
      </c>
      <c r="AG22" s="256">
        <f t="shared" si="19"/>
        <v>0</v>
      </c>
      <c r="AH22" s="256">
        <f t="shared" si="18"/>
        <v>0</v>
      </c>
      <c r="AI22" s="256">
        <f t="shared" ref="AI22:AJ22" si="20">AI21</f>
        <v>0</v>
      </c>
      <c r="AJ22" s="256">
        <f t="shared" si="20"/>
        <v>0</v>
      </c>
      <c r="AK22" s="256">
        <f t="shared" si="18"/>
        <v>0</v>
      </c>
      <c r="AL22" s="20">
        <f t="shared" si="15"/>
        <v>0</v>
      </c>
    </row>
    <row r="23" spans="2:38" ht="10.5" customHeight="1" x14ac:dyDescent="0.25">
      <c r="F23" s="108"/>
      <c r="G23" s="5"/>
      <c r="H23" s="5"/>
      <c r="I23" s="5"/>
      <c r="J23" s="5"/>
      <c r="K23" s="5"/>
      <c r="L23" s="5"/>
      <c r="M23" s="108"/>
      <c r="N23" s="15" t="s">
        <v>181</v>
      </c>
      <c r="O23" s="249">
        <v>0</v>
      </c>
      <c r="P23" s="248">
        <v>0</v>
      </c>
      <c r="Q23" s="254">
        <v>1</v>
      </c>
      <c r="R23" s="21">
        <f t="shared" ref="R23:R24" si="21">ROUND(O23*P23*Q23,0)</f>
        <v>0</v>
      </c>
      <c r="S23" s="108"/>
      <c r="T23" s="295" t="s">
        <v>298</v>
      </c>
      <c r="U23" s="298">
        <v>0</v>
      </c>
      <c r="V23" s="298">
        <v>0</v>
      </c>
      <c r="W23" s="298">
        <v>0</v>
      </c>
      <c r="X23" s="298">
        <v>0</v>
      </c>
      <c r="Y23" s="299" t="s">
        <v>46</v>
      </c>
      <c r="Z23" s="108"/>
      <c r="AA23" s="5" t="s">
        <v>132</v>
      </c>
      <c r="AB23" s="21">
        <f t="shared" ref="AB23:AK23" si="22">ROUND(AB22*$AA25,0)</f>
        <v>0</v>
      </c>
      <c r="AC23" s="21">
        <f t="shared" si="22"/>
        <v>0</v>
      </c>
      <c r="AD23" s="21">
        <f t="shared" si="22"/>
        <v>0</v>
      </c>
      <c r="AE23" s="21">
        <f t="shared" si="22"/>
        <v>0</v>
      </c>
      <c r="AF23" s="21">
        <f t="shared" si="22"/>
        <v>0</v>
      </c>
      <c r="AG23" s="21">
        <f t="shared" si="22"/>
        <v>0</v>
      </c>
      <c r="AH23" s="21">
        <f t="shared" si="22"/>
        <v>0</v>
      </c>
      <c r="AI23" s="21">
        <f t="shared" si="22"/>
        <v>0</v>
      </c>
      <c r="AJ23" s="21">
        <f t="shared" si="22"/>
        <v>0</v>
      </c>
      <c r="AK23" s="21">
        <f t="shared" si="22"/>
        <v>0</v>
      </c>
      <c r="AL23" s="20">
        <f t="shared" si="15"/>
        <v>0</v>
      </c>
    </row>
    <row r="24" spans="2:38" ht="10.5" customHeight="1" x14ac:dyDescent="0.25">
      <c r="F24" s="108"/>
      <c r="G24" s="5" t="s">
        <v>104</v>
      </c>
      <c r="H24" s="252"/>
      <c r="I24" s="252"/>
      <c r="J24" s="252"/>
      <c r="K24" s="252"/>
      <c r="L24" s="252"/>
      <c r="M24" s="108"/>
      <c r="N24" s="15" t="s">
        <v>182</v>
      </c>
      <c r="O24" s="249">
        <v>0</v>
      </c>
      <c r="P24" s="248">
        <v>0</v>
      </c>
      <c r="Q24" s="254">
        <v>1</v>
      </c>
      <c r="R24" s="21">
        <f t="shared" si="21"/>
        <v>0</v>
      </c>
      <c r="S24" s="108"/>
      <c r="T24" s="295" t="s">
        <v>46</v>
      </c>
      <c r="U24" s="302">
        <f>U22*U23</f>
        <v>0</v>
      </c>
      <c r="V24" s="302">
        <f t="shared" ref="V24" si="23">V22*V23</f>
        <v>0</v>
      </c>
      <c r="W24" s="302">
        <f t="shared" ref="W24" si="24">W22*W23</f>
        <v>0</v>
      </c>
      <c r="X24" s="302">
        <f t="shared" ref="X24" si="25">X22*X23</f>
        <v>0</v>
      </c>
      <c r="Y24" s="303">
        <f>SUM(U24:X24)</f>
        <v>0</v>
      </c>
      <c r="Z24" s="108"/>
      <c r="AA24" s="5" t="s">
        <v>9</v>
      </c>
      <c r="AB24" s="24">
        <f t="shared" ref="AB24:AK24" si="26">AB21+AB23</f>
        <v>0</v>
      </c>
      <c r="AC24" s="24">
        <f t="shared" si="26"/>
        <v>0</v>
      </c>
      <c r="AD24" s="24">
        <f t="shared" si="26"/>
        <v>0</v>
      </c>
      <c r="AE24" s="24">
        <f t="shared" ref="AE24:AG24" si="27">AE21+AE23</f>
        <v>0</v>
      </c>
      <c r="AF24" s="24">
        <f t="shared" si="27"/>
        <v>0</v>
      </c>
      <c r="AG24" s="24">
        <f t="shared" si="27"/>
        <v>0</v>
      </c>
      <c r="AH24" s="24">
        <f t="shared" si="26"/>
        <v>0</v>
      </c>
      <c r="AI24" s="24">
        <f t="shared" ref="AI24:AJ24" si="28">AI21+AI23</f>
        <v>0</v>
      </c>
      <c r="AJ24" s="24">
        <f t="shared" si="28"/>
        <v>0</v>
      </c>
      <c r="AK24" s="24">
        <f t="shared" si="26"/>
        <v>0</v>
      </c>
      <c r="AL24" s="29">
        <f t="shared" si="15"/>
        <v>0</v>
      </c>
    </row>
    <row r="25" spans="2:38" ht="10.5" customHeight="1" x14ac:dyDescent="0.25">
      <c r="F25" s="108"/>
      <c r="G25" s="5"/>
      <c r="H25" s="19" t="s">
        <v>112</v>
      </c>
      <c r="I25" s="18" t="s">
        <v>113</v>
      </c>
      <c r="J25" s="18" t="s">
        <v>114</v>
      </c>
      <c r="K25" s="18" t="s">
        <v>115</v>
      </c>
      <c r="L25" s="18" t="s">
        <v>46</v>
      </c>
      <c r="M25" s="108"/>
      <c r="N25" s="15" t="s">
        <v>183</v>
      </c>
      <c r="O25" s="249">
        <v>0</v>
      </c>
      <c r="P25" s="248">
        <v>0</v>
      </c>
      <c r="Q25" s="254">
        <v>1</v>
      </c>
      <c r="R25" s="25">
        <f>ROUND(O25*P25*Q25,0)</f>
        <v>0</v>
      </c>
      <c r="S25" s="108"/>
      <c r="T25" s="5"/>
      <c r="U25" s="5"/>
      <c r="V25" s="5"/>
      <c r="W25" s="5"/>
      <c r="X25" s="5"/>
      <c r="Y25" s="5"/>
      <c r="Z25" s="108"/>
      <c r="AA25" s="257">
        <v>0.1</v>
      </c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2:38" ht="10.5" customHeight="1" x14ac:dyDescent="0.25">
      <c r="F26" s="108"/>
      <c r="G26" s="15" t="s">
        <v>119</v>
      </c>
      <c r="H26" s="247">
        <v>0</v>
      </c>
      <c r="I26" s="248">
        <v>0</v>
      </c>
      <c r="J26" s="248">
        <v>0</v>
      </c>
      <c r="K26" s="248">
        <v>0</v>
      </c>
      <c r="L26" s="21">
        <f t="shared" ref="L26:L31" si="29">ROUND(H26*I26*J26*K26,0)</f>
        <v>0</v>
      </c>
      <c r="M26" s="108"/>
      <c r="Q26" s="16" t="str">
        <f>N20&amp;" "&amp;"subtotal"</f>
        <v>Supplies Category 3 subtotal</v>
      </c>
      <c r="R26" s="34">
        <f>SUM(R21:R25)</f>
        <v>0</v>
      </c>
      <c r="S26" s="108"/>
      <c r="T26" s="280" t="s">
        <v>106</v>
      </c>
      <c r="U26" s="301"/>
      <c r="V26" s="301"/>
      <c r="W26" s="301"/>
      <c r="X26" s="295"/>
      <c r="Y26" s="296"/>
      <c r="Z26" s="108"/>
    </row>
    <row r="27" spans="2:38" ht="10.5" customHeight="1" x14ac:dyDescent="0.25">
      <c r="F27" s="108"/>
      <c r="G27" s="15" t="s">
        <v>122</v>
      </c>
      <c r="H27" s="249">
        <v>0</v>
      </c>
      <c r="I27" s="248">
        <v>0</v>
      </c>
      <c r="J27" s="248">
        <v>0</v>
      </c>
      <c r="K27" s="248">
        <v>0</v>
      </c>
      <c r="L27" s="21">
        <f t="shared" si="29"/>
        <v>0</v>
      </c>
      <c r="M27" s="108"/>
      <c r="S27" s="108"/>
      <c r="T27" s="295"/>
      <c r="U27" s="295" t="s">
        <v>64</v>
      </c>
      <c r="V27" s="295" t="s">
        <v>56</v>
      </c>
      <c r="W27" s="295" t="s">
        <v>297</v>
      </c>
      <c r="X27" s="295" t="s">
        <v>69</v>
      </c>
      <c r="Y27" s="296"/>
      <c r="Z27" s="108"/>
    </row>
    <row r="28" spans="2:38" ht="10.5" customHeight="1" x14ac:dyDescent="0.25">
      <c r="F28" s="108"/>
      <c r="G28" s="15" t="s">
        <v>124</v>
      </c>
      <c r="H28" s="247">
        <v>0</v>
      </c>
      <c r="I28" s="248">
        <v>0</v>
      </c>
      <c r="J28" s="248">
        <v>0</v>
      </c>
      <c r="K28" s="248">
        <v>0</v>
      </c>
      <c r="L28" s="21">
        <f t="shared" si="29"/>
        <v>0</v>
      </c>
      <c r="M28" s="108"/>
      <c r="N28" s="5" t="s">
        <v>46</v>
      </c>
      <c r="O28" s="5"/>
      <c r="P28" s="5"/>
      <c r="Q28" s="5"/>
      <c r="R28" s="27">
        <f>R10+R18+R26</f>
        <v>0</v>
      </c>
      <c r="S28" s="108"/>
      <c r="T28" s="295" t="s">
        <v>299</v>
      </c>
      <c r="U28" s="297">
        <v>0</v>
      </c>
      <c r="V28" s="297">
        <v>0</v>
      </c>
      <c r="W28" s="297">
        <v>0</v>
      </c>
      <c r="X28" s="297">
        <v>0</v>
      </c>
      <c r="Y28" s="296"/>
      <c r="Z28" s="108"/>
      <c r="AA28" s="17" t="s">
        <v>237</v>
      </c>
      <c r="AB28" s="5"/>
      <c r="AC28" s="253" t="s">
        <v>134</v>
      </c>
      <c r="AD28" s="253"/>
      <c r="AE28" s="39"/>
      <c r="AF28" s="5"/>
      <c r="AG28" s="5"/>
      <c r="AH28" s="39"/>
      <c r="AI28" s="5"/>
      <c r="AJ28" s="5"/>
      <c r="AK28" s="5"/>
      <c r="AL28" s="5"/>
    </row>
    <row r="29" spans="2:38" ht="10.5" customHeight="1" x14ac:dyDescent="0.25">
      <c r="F29" s="108"/>
      <c r="G29" s="15" t="s">
        <v>126</v>
      </c>
      <c r="H29" s="247">
        <f>ROUND(10.1+13.3+26.3,0)</f>
        <v>50</v>
      </c>
      <c r="I29" s="248">
        <v>0</v>
      </c>
      <c r="J29" s="248">
        <v>0</v>
      </c>
      <c r="K29" s="248">
        <v>0</v>
      </c>
      <c r="L29" s="21">
        <f t="shared" si="29"/>
        <v>0</v>
      </c>
      <c r="M29" s="108"/>
      <c r="S29" s="108"/>
      <c r="T29" s="295" t="s">
        <v>298</v>
      </c>
      <c r="U29" s="298">
        <v>0</v>
      </c>
      <c r="V29" s="298">
        <v>0</v>
      </c>
      <c r="W29" s="298">
        <v>0</v>
      </c>
      <c r="X29" s="298">
        <v>0</v>
      </c>
      <c r="Y29" s="299" t="s">
        <v>46</v>
      </c>
      <c r="Z29" s="108"/>
      <c r="AA29" s="5"/>
      <c r="AB29" s="18" t="s">
        <v>107</v>
      </c>
      <c r="AC29" s="18" t="s">
        <v>108</v>
      </c>
      <c r="AD29" s="18" t="s">
        <v>109</v>
      </c>
      <c r="AE29" s="18" t="s">
        <v>110</v>
      </c>
      <c r="AF29" s="18" t="s">
        <v>111</v>
      </c>
      <c r="AG29" s="18" t="s">
        <v>190</v>
      </c>
      <c r="AH29" s="18" t="s">
        <v>191</v>
      </c>
      <c r="AI29" s="18" t="s">
        <v>192</v>
      </c>
      <c r="AJ29" s="18" t="s">
        <v>193</v>
      </c>
      <c r="AK29" s="18" t="s">
        <v>194</v>
      </c>
      <c r="AL29" s="5" t="s">
        <v>9</v>
      </c>
    </row>
    <row r="30" spans="2:38" ht="10.5" customHeight="1" x14ac:dyDescent="0.25">
      <c r="F30" s="108"/>
      <c r="G30" s="15" t="s">
        <v>128</v>
      </c>
      <c r="H30" s="247">
        <v>0</v>
      </c>
      <c r="I30" s="248">
        <v>0</v>
      </c>
      <c r="J30" s="248">
        <v>0</v>
      </c>
      <c r="K30" s="248">
        <v>0</v>
      </c>
      <c r="L30" s="21">
        <f t="shared" si="29"/>
        <v>0</v>
      </c>
      <c r="M30" s="108"/>
      <c r="N30" s="345" t="s">
        <v>74</v>
      </c>
      <c r="O30" s="345"/>
      <c r="P30" s="345"/>
      <c r="Q30" s="345"/>
      <c r="R30" s="345"/>
      <c r="S30" s="108"/>
      <c r="T30" s="295" t="s">
        <v>46</v>
      </c>
      <c r="U30" s="302">
        <f>U28*U29</f>
        <v>0</v>
      </c>
      <c r="V30" s="302">
        <f t="shared" ref="V30" si="30">V28*V29</f>
        <v>0</v>
      </c>
      <c r="W30" s="302">
        <f t="shared" ref="W30" si="31">W28*W29</f>
        <v>0</v>
      </c>
      <c r="X30" s="302">
        <f t="shared" ref="X30" si="32">X28*X29</f>
        <v>0</v>
      </c>
      <c r="Y30" s="303">
        <f>SUM(U30:X30)</f>
        <v>0</v>
      </c>
      <c r="Z30" s="108"/>
      <c r="AA30" s="15" t="s">
        <v>118</v>
      </c>
      <c r="AB30" s="247">
        <v>0</v>
      </c>
      <c r="AC30" s="247">
        <v>0</v>
      </c>
      <c r="AD30" s="247">
        <v>0</v>
      </c>
      <c r="AE30" s="247">
        <v>0</v>
      </c>
      <c r="AF30" s="247">
        <v>0</v>
      </c>
      <c r="AG30" s="247">
        <v>0</v>
      </c>
      <c r="AH30" s="247">
        <v>0</v>
      </c>
      <c r="AI30" s="247">
        <v>0</v>
      </c>
      <c r="AJ30" s="247">
        <v>0</v>
      </c>
      <c r="AK30" s="247">
        <v>0</v>
      </c>
      <c r="AL30" s="20">
        <f t="shared" ref="AL30:AL32" si="33">SUM(AB30:AK30)</f>
        <v>0</v>
      </c>
    </row>
    <row r="31" spans="2:38" ht="10.5" customHeight="1" x14ac:dyDescent="0.25">
      <c r="F31" s="108"/>
      <c r="G31" s="15" t="s">
        <v>131</v>
      </c>
      <c r="H31" s="250">
        <v>0</v>
      </c>
      <c r="I31" s="251">
        <v>0</v>
      </c>
      <c r="J31" s="251">
        <v>0</v>
      </c>
      <c r="K31" s="251">
        <v>0</v>
      </c>
      <c r="L31" s="25">
        <f t="shared" si="29"/>
        <v>0</v>
      </c>
      <c r="M31" s="108"/>
      <c r="N31" s="5"/>
      <c r="O31" s="18" t="s">
        <v>112</v>
      </c>
      <c r="P31" s="18" t="s">
        <v>116</v>
      </c>
      <c r="Q31" s="18" t="s">
        <v>117</v>
      </c>
      <c r="R31" s="18" t="s">
        <v>46</v>
      </c>
      <c r="S31" s="108"/>
      <c r="T31" s="5"/>
      <c r="U31" s="5"/>
      <c r="V31" s="5"/>
      <c r="W31" s="5"/>
      <c r="X31" s="5"/>
      <c r="Y31" s="5"/>
      <c r="Z31" s="108"/>
      <c r="AA31" s="15" t="s">
        <v>121</v>
      </c>
      <c r="AB31" s="247">
        <v>0</v>
      </c>
      <c r="AC31" s="247">
        <v>0</v>
      </c>
      <c r="AD31" s="247">
        <v>0</v>
      </c>
      <c r="AE31" s="247">
        <v>0</v>
      </c>
      <c r="AF31" s="247">
        <v>0</v>
      </c>
      <c r="AG31" s="247">
        <v>0</v>
      </c>
      <c r="AH31" s="247">
        <v>0</v>
      </c>
      <c r="AI31" s="247">
        <v>0</v>
      </c>
      <c r="AJ31" s="247">
        <v>0</v>
      </c>
      <c r="AK31" s="247">
        <v>0</v>
      </c>
      <c r="AL31" s="20">
        <f t="shared" si="33"/>
        <v>0</v>
      </c>
    </row>
    <row r="32" spans="2:38" ht="10.5" customHeight="1" x14ac:dyDescent="0.25">
      <c r="F32" s="108"/>
      <c r="G32" s="5" t="s">
        <v>46</v>
      </c>
      <c r="H32" s="20"/>
      <c r="I32" s="55"/>
      <c r="J32" s="20"/>
      <c r="K32" s="20"/>
      <c r="L32" s="27">
        <f>SUM(L26:L31)</f>
        <v>0</v>
      </c>
      <c r="M32" s="108"/>
      <c r="N32" s="15" t="s">
        <v>149</v>
      </c>
      <c r="O32" s="249">
        <v>0</v>
      </c>
      <c r="P32" s="248">
        <v>0</v>
      </c>
      <c r="Q32" s="254">
        <v>1</v>
      </c>
      <c r="R32" s="21">
        <f t="shared" ref="R32:R34" si="34">ROUND(O32*P32*Q32,0)</f>
        <v>0</v>
      </c>
      <c r="S32" s="108"/>
      <c r="T32" s="5"/>
      <c r="U32" s="5"/>
      <c r="V32" s="5"/>
      <c r="W32" s="5"/>
      <c r="X32" s="5"/>
      <c r="Y32" s="5"/>
      <c r="Z32" s="108"/>
      <c r="AA32" s="15" t="s">
        <v>123</v>
      </c>
      <c r="AB32" s="247">
        <v>0</v>
      </c>
      <c r="AC32" s="247">
        <v>0</v>
      </c>
      <c r="AD32" s="247">
        <v>0</v>
      </c>
      <c r="AE32" s="247">
        <v>0</v>
      </c>
      <c r="AF32" s="247">
        <v>0</v>
      </c>
      <c r="AG32" s="247">
        <v>0</v>
      </c>
      <c r="AH32" s="247">
        <v>0</v>
      </c>
      <c r="AI32" s="247">
        <v>0</v>
      </c>
      <c r="AJ32" s="247">
        <v>0</v>
      </c>
      <c r="AK32" s="247">
        <v>0</v>
      </c>
      <c r="AL32" s="20">
        <f t="shared" si="33"/>
        <v>0</v>
      </c>
    </row>
    <row r="33" spans="6:38" ht="10.5" customHeight="1" x14ac:dyDescent="0.25">
      <c r="F33" s="108"/>
      <c r="G33" s="5"/>
      <c r="H33" s="28"/>
      <c r="I33" s="56"/>
      <c r="J33" s="5"/>
      <c r="K33" s="5"/>
      <c r="L33" s="5"/>
      <c r="M33" s="108"/>
      <c r="N33" s="15" t="s">
        <v>150</v>
      </c>
      <c r="O33" s="249">
        <v>0</v>
      </c>
      <c r="P33" s="248">
        <v>0</v>
      </c>
      <c r="Q33" s="254">
        <v>1</v>
      </c>
      <c r="R33" s="21">
        <f t="shared" si="34"/>
        <v>0</v>
      </c>
      <c r="S33" s="108"/>
      <c r="T33" s="5"/>
      <c r="U33" s="5"/>
      <c r="V33" s="5"/>
      <c r="W33" s="5"/>
      <c r="X33" s="5"/>
      <c r="Y33" s="5"/>
      <c r="Z33" s="108"/>
      <c r="AA33" s="15" t="s">
        <v>125</v>
      </c>
      <c r="AB33" s="247">
        <v>0</v>
      </c>
      <c r="AC33" s="247">
        <v>0</v>
      </c>
      <c r="AD33" s="247">
        <v>0</v>
      </c>
      <c r="AE33" s="247">
        <v>0</v>
      </c>
      <c r="AF33" s="247">
        <v>0</v>
      </c>
      <c r="AG33" s="247">
        <v>0</v>
      </c>
      <c r="AH33" s="247">
        <v>0</v>
      </c>
      <c r="AI33" s="247">
        <v>0</v>
      </c>
      <c r="AJ33" s="247">
        <v>0</v>
      </c>
      <c r="AK33" s="247">
        <v>0</v>
      </c>
      <c r="AL33" s="20">
        <f t="shared" ref="AL33:AL36" si="35">SUM(AB33:AK33)</f>
        <v>0</v>
      </c>
    </row>
    <row r="34" spans="6:38" ht="10.5" customHeight="1" x14ac:dyDescent="0.25">
      <c r="F34" s="108"/>
      <c r="G34" s="5"/>
      <c r="H34" s="5"/>
      <c r="I34" s="5"/>
      <c r="J34" s="5"/>
      <c r="K34" s="5"/>
      <c r="L34" s="5"/>
      <c r="M34" s="108"/>
      <c r="N34" s="15" t="s">
        <v>152</v>
      </c>
      <c r="O34" s="249">
        <v>0</v>
      </c>
      <c r="P34" s="248">
        <v>0</v>
      </c>
      <c r="Q34" s="254">
        <v>1</v>
      </c>
      <c r="R34" s="25">
        <f t="shared" si="34"/>
        <v>0</v>
      </c>
      <c r="S34" s="108"/>
      <c r="T34" s="5"/>
      <c r="U34" s="5"/>
      <c r="V34" s="5"/>
      <c r="W34" s="5"/>
      <c r="X34" s="5"/>
      <c r="Y34" s="5"/>
      <c r="Z34" s="108"/>
      <c r="AA34" s="15" t="s">
        <v>127</v>
      </c>
      <c r="AB34" s="247">
        <v>0</v>
      </c>
      <c r="AC34" s="247">
        <v>0</v>
      </c>
      <c r="AD34" s="247">
        <v>0</v>
      </c>
      <c r="AE34" s="247">
        <v>0</v>
      </c>
      <c r="AF34" s="247">
        <v>0</v>
      </c>
      <c r="AG34" s="247">
        <v>0</v>
      </c>
      <c r="AH34" s="247">
        <v>0</v>
      </c>
      <c r="AI34" s="247">
        <v>0</v>
      </c>
      <c r="AJ34" s="247">
        <v>0</v>
      </c>
      <c r="AK34" s="247">
        <v>0</v>
      </c>
      <c r="AL34" s="20">
        <f t="shared" si="35"/>
        <v>0</v>
      </c>
    </row>
    <row r="35" spans="6:38" ht="10.5" customHeight="1" x14ac:dyDescent="0.25">
      <c r="F35" s="108"/>
      <c r="G35" s="5" t="s">
        <v>104</v>
      </c>
      <c r="H35" s="252"/>
      <c r="I35" s="252"/>
      <c r="J35" s="252"/>
      <c r="K35" s="252"/>
      <c r="L35" s="252"/>
      <c r="M35" s="108"/>
      <c r="N35" s="14"/>
      <c r="O35" s="14"/>
      <c r="P35" s="14"/>
      <c r="Q35" s="14"/>
      <c r="R35" s="27">
        <f>SUM(R32:R34)</f>
        <v>0</v>
      </c>
      <c r="S35" s="108"/>
      <c r="T35" s="5"/>
      <c r="U35" s="5"/>
      <c r="V35" s="5"/>
      <c r="W35" s="5"/>
      <c r="X35" s="5"/>
      <c r="Y35" s="5"/>
      <c r="Z35" s="108"/>
      <c r="AA35" s="15" t="s">
        <v>130</v>
      </c>
      <c r="AB35" s="247">
        <v>0</v>
      </c>
      <c r="AC35" s="247">
        <v>0</v>
      </c>
      <c r="AD35" s="247">
        <v>0</v>
      </c>
      <c r="AE35" s="247">
        <v>0</v>
      </c>
      <c r="AF35" s="247">
        <v>0</v>
      </c>
      <c r="AG35" s="247">
        <v>0</v>
      </c>
      <c r="AH35" s="247">
        <v>0</v>
      </c>
      <c r="AI35" s="247">
        <v>0</v>
      </c>
      <c r="AJ35" s="247">
        <v>0</v>
      </c>
      <c r="AK35" s="247">
        <v>0</v>
      </c>
      <c r="AL35" s="20">
        <f t="shared" si="35"/>
        <v>0</v>
      </c>
    </row>
    <row r="36" spans="6:38" ht="10.5" customHeight="1" x14ac:dyDescent="0.25">
      <c r="F36" s="108"/>
      <c r="G36" s="5"/>
      <c r="H36" s="19" t="s">
        <v>112</v>
      </c>
      <c r="I36" s="18" t="s">
        <v>113</v>
      </c>
      <c r="J36" s="18" t="s">
        <v>114</v>
      </c>
      <c r="K36" s="18" t="s">
        <v>115</v>
      </c>
      <c r="L36" s="18" t="s">
        <v>46</v>
      </c>
      <c r="M36" s="108"/>
      <c r="S36" s="108"/>
      <c r="T36" s="5"/>
      <c r="U36" s="5"/>
      <c r="V36" s="5"/>
      <c r="W36" s="5"/>
      <c r="X36" s="5"/>
      <c r="Y36" s="5"/>
      <c r="Z36" s="108"/>
      <c r="AA36" s="15" t="s">
        <v>232</v>
      </c>
      <c r="AB36" s="247">
        <v>0</v>
      </c>
      <c r="AC36" s="247">
        <v>0</v>
      </c>
      <c r="AD36" s="247">
        <v>0</v>
      </c>
      <c r="AE36" s="247">
        <v>0</v>
      </c>
      <c r="AF36" s="247">
        <v>0</v>
      </c>
      <c r="AG36" s="247">
        <v>0</v>
      </c>
      <c r="AH36" s="247">
        <v>0</v>
      </c>
      <c r="AI36" s="247">
        <v>0</v>
      </c>
      <c r="AJ36" s="247">
        <v>0</v>
      </c>
      <c r="AK36" s="247">
        <v>0</v>
      </c>
      <c r="AL36" s="20">
        <f t="shared" si="35"/>
        <v>0</v>
      </c>
    </row>
    <row r="37" spans="6:38" ht="10.5" customHeight="1" x14ac:dyDescent="0.25">
      <c r="F37" s="108"/>
      <c r="G37" s="15" t="s">
        <v>119</v>
      </c>
      <c r="H37" s="247">
        <v>0</v>
      </c>
      <c r="I37" s="248">
        <v>0</v>
      </c>
      <c r="J37" s="248">
        <v>0</v>
      </c>
      <c r="K37" s="248">
        <v>0</v>
      </c>
      <c r="L37" s="21">
        <f t="shared" ref="L37:L42" si="36">ROUND(H37*I37*J37*K37,0)</f>
        <v>0</v>
      </c>
      <c r="M37" s="108"/>
      <c r="N37" s="345" t="s">
        <v>135</v>
      </c>
      <c r="O37" s="345"/>
      <c r="P37" s="345"/>
      <c r="Q37" s="345"/>
      <c r="R37" s="345"/>
      <c r="S37" s="108"/>
      <c r="T37" s="5"/>
      <c r="U37" s="5"/>
      <c r="V37" s="5"/>
      <c r="W37" s="5"/>
      <c r="X37" s="5"/>
      <c r="Y37" s="5"/>
      <c r="Z37" s="108"/>
      <c r="AA37" s="15" t="s">
        <v>233</v>
      </c>
      <c r="AB37" s="247">
        <v>0</v>
      </c>
      <c r="AC37" s="247">
        <v>0</v>
      </c>
      <c r="AD37" s="247">
        <v>0</v>
      </c>
      <c r="AE37" s="247">
        <v>0</v>
      </c>
      <c r="AF37" s="247">
        <v>0</v>
      </c>
      <c r="AG37" s="247">
        <v>0</v>
      </c>
      <c r="AH37" s="247">
        <v>0</v>
      </c>
      <c r="AI37" s="247">
        <v>0</v>
      </c>
      <c r="AJ37" s="247">
        <v>0</v>
      </c>
      <c r="AK37" s="247">
        <v>0</v>
      </c>
      <c r="AL37" s="20">
        <f t="shared" ref="AL37:AL43" si="37">SUM(AB37:AK37)</f>
        <v>0</v>
      </c>
    </row>
    <row r="38" spans="6:38" ht="10.5" customHeight="1" x14ac:dyDescent="0.25">
      <c r="F38" s="108"/>
      <c r="G38" s="15" t="s">
        <v>122</v>
      </c>
      <c r="H38" s="249">
        <v>0</v>
      </c>
      <c r="I38" s="248">
        <v>0</v>
      </c>
      <c r="J38" s="248">
        <v>0</v>
      </c>
      <c r="K38" s="248">
        <v>0</v>
      </c>
      <c r="L38" s="21">
        <f t="shared" si="36"/>
        <v>0</v>
      </c>
      <c r="M38" s="108"/>
      <c r="N38" s="5" t="s">
        <v>136</v>
      </c>
      <c r="O38" s="252"/>
      <c r="P38" s="252"/>
      <c r="Q38" s="252"/>
      <c r="R38" s="252"/>
      <c r="S38" s="108"/>
      <c r="T38" s="5"/>
      <c r="U38" s="5"/>
      <c r="V38" s="5"/>
      <c r="W38" s="5"/>
      <c r="X38" s="5"/>
      <c r="Y38" s="5"/>
      <c r="Z38" s="108"/>
      <c r="AA38" s="15" t="s">
        <v>234</v>
      </c>
      <c r="AB38" s="247">
        <v>0</v>
      </c>
      <c r="AC38" s="247">
        <v>0</v>
      </c>
      <c r="AD38" s="247">
        <v>0</v>
      </c>
      <c r="AE38" s="247">
        <v>0</v>
      </c>
      <c r="AF38" s="247">
        <v>0</v>
      </c>
      <c r="AG38" s="247">
        <v>0</v>
      </c>
      <c r="AH38" s="247">
        <v>0</v>
      </c>
      <c r="AI38" s="247">
        <v>0</v>
      </c>
      <c r="AJ38" s="247">
        <v>0</v>
      </c>
      <c r="AK38" s="247">
        <v>0</v>
      </c>
      <c r="AL38" s="20">
        <f t="shared" si="37"/>
        <v>0</v>
      </c>
    </row>
    <row r="39" spans="6:38" ht="10.5" customHeight="1" x14ac:dyDescent="0.25">
      <c r="F39" s="108"/>
      <c r="G39" s="15" t="s">
        <v>124</v>
      </c>
      <c r="H39" s="247">
        <v>0</v>
      </c>
      <c r="I39" s="248">
        <v>0</v>
      </c>
      <c r="J39" s="248">
        <v>0</v>
      </c>
      <c r="K39" s="248">
        <v>0</v>
      </c>
      <c r="L39" s="21">
        <f t="shared" si="36"/>
        <v>0</v>
      </c>
      <c r="M39" s="108"/>
      <c r="N39" s="5"/>
      <c r="O39" s="18" t="s">
        <v>112</v>
      </c>
      <c r="P39" s="18" t="s">
        <v>116</v>
      </c>
      <c r="Q39" s="18" t="s">
        <v>117</v>
      </c>
      <c r="R39" s="18" t="s">
        <v>46</v>
      </c>
      <c r="S39" s="108"/>
      <c r="T39" s="5"/>
      <c r="U39" s="5"/>
      <c r="V39" s="5"/>
      <c r="W39" s="5"/>
      <c r="X39" s="5"/>
      <c r="Y39" s="5"/>
      <c r="Z39" s="108"/>
      <c r="AA39" s="46" t="s">
        <v>235</v>
      </c>
      <c r="AB39" s="255">
        <v>0</v>
      </c>
      <c r="AC39" s="255">
        <v>0</v>
      </c>
      <c r="AD39" s="255">
        <v>0</v>
      </c>
      <c r="AE39" s="255">
        <v>0</v>
      </c>
      <c r="AF39" s="255">
        <v>0</v>
      </c>
      <c r="AG39" s="255">
        <v>0</v>
      </c>
      <c r="AH39" s="255">
        <v>0</v>
      </c>
      <c r="AI39" s="255">
        <v>0</v>
      </c>
      <c r="AJ39" s="255">
        <v>0</v>
      </c>
      <c r="AK39" s="255">
        <v>0</v>
      </c>
      <c r="AL39" s="26">
        <f t="shared" si="37"/>
        <v>0</v>
      </c>
    </row>
    <row r="40" spans="6:38" ht="10.5" customHeight="1" x14ac:dyDescent="0.25">
      <c r="F40" s="108"/>
      <c r="G40" s="15" t="s">
        <v>126</v>
      </c>
      <c r="H40" s="247">
        <f>ROUND(10.1+13.3+26.3,0)</f>
        <v>50</v>
      </c>
      <c r="I40" s="248">
        <v>0</v>
      </c>
      <c r="J40" s="248">
        <v>0</v>
      </c>
      <c r="K40" s="248">
        <v>0</v>
      </c>
      <c r="L40" s="21">
        <f t="shared" si="36"/>
        <v>0</v>
      </c>
      <c r="M40" s="108"/>
      <c r="N40" s="15" t="s">
        <v>226</v>
      </c>
      <c r="O40" s="249">
        <v>0</v>
      </c>
      <c r="P40" s="248">
        <v>0</v>
      </c>
      <c r="Q40" s="254">
        <v>1</v>
      </c>
      <c r="R40" s="21">
        <f t="shared" ref="R40:R44" si="38">ROUND(O40*P40*Q40,0)</f>
        <v>0</v>
      </c>
      <c r="S40" s="108"/>
      <c r="T40" s="5"/>
      <c r="U40" s="5"/>
      <c r="V40" s="5"/>
      <c r="W40" s="5"/>
      <c r="X40" s="5"/>
      <c r="Y40" s="5"/>
      <c r="Z40" s="108"/>
      <c r="AA40" s="5" t="s">
        <v>90</v>
      </c>
      <c r="AB40" s="21">
        <f t="shared" ref="AB40:AK40" si="39">SUM(AB30:AB39)</f>
        <v>0</v>
      </c>
      <c r="AC40" s="21">
        <f t="shared" si="39"/>
        <v>0</v>
      </c>
      <c r="AD40" s="21">
        <f t="shared" si="39"/>
        <v>0</v>
      </c>
      <c r="AE40" s="21">
        <f t="shared" si="39"/>
        <v>0</v>
      </c>
      <c r="AF40" s="21">
        <f t="shared" si="39"/>
        <v>0</v>
      </c>
      <c r="AG40" s="21">
        <f t="shared" si="39"/>
        <v>0</v>
      </c>
      <c r="AH40" s="21">
        <f t="shared" si="39"/>
        <v>0</v>
      </c>
      <c r="AI40" s="21">
        <f t="shared" si="39"/>
        <v>0</v>
      </c>
      <c r="AJ40" s="21">
        <f t="shared" si="39"/>
        <v>0</v>
      </c>
      <c r="AK40" s="21">
        <f t="shared" si="39"/>
        <v>0</v>
      </c>
      <c r="AL40" s="20">
        <f t="shared" si="37"/>
        <v>0</v>
      </c>
    </row>
    <row r="41" spans="6:38" ht="10.5" customHeight="1" x14ac:dyDescent="0.25">
      <c r="F41" s="108"/>
      <c r="G41" s="15" t="s">
        <v>128</v>
      </c>
      <c r="H41" s="247">
        <v>0</v>
      </c>
      <c r="I41" s="248">
        <v>0</v>
      </c>
      <c r="J41" s="248">
        <v>0</v>
      </c>
      <c r="K41" s="248">
        <v>0</v>
      </c>
      <c r="L41" s="21">
        <f t="shared" si="36"/>
        <v>0</v>
      </c>
      <c r="M41" s="108"/>
      <c r="N41" s="15" t="s">
        <v>227</v>
      </c>
      <c r="O41" s="249">
        <v>0</v>
      </c>
      <c r="P41" s="248">
        <v>0</v>
      </c>
      <c r="Q41" s="254">
        <v>1</v>
      </c>
      <c r="R41" s="21">
        <f t="shared" si="38"/>
        <v>0</v>
      </c>
      <c r="S41" s="108"/>
      <c r="T41" s="5"/>
      <c r="U41" s="5"/>
      <c r="V41" s="5"/>
      <c r="W41" s="5"/>
      <c r="X41" s="5"/>
      <c r="Y41" s="5"/>
      <c r="Z41" s="108"/>
      <c r="AA41" s="5" t="s">
        <v>94</v>
      </c>
      <c r="AB41" s="256">
        <f t="shared" ref="AB41:AK41" si="40">AB40</f>
        <v>0</v>
      </c>
      <c r="AC41" s="256">
        <f t="shared" si="40"/>
        <v>0</v>
      </c>
      <c r="AD41" s="256">
        <f t="shared" si="40"/>
        <v>0</v>
      </c>
      <c r="AE41" s="256">
        <f t="shared" si="40"/>
        <v>0</v>
      </c>
      <c r="AF41" s="256">
        <f t="shared" si="40"/>
        <v>0</v>
      </c>
      <c r="AG41" s="256">
        <f t="shared" si="40"/>
        <v>0</v>
      </c>
      <c r="AH41" s="256">
        <f t="shared" si="40"/>
        <v>0</v>
      </c>
      <c r="AI41" s="256">
        <f t="shared" si="40"/>
        <v>0</v>
      </c>
      <c r="AJ41" s="256">
        <f t="shared" si="40"/>
        <v>0</v>
      </c>
      <c r="AK41" s="256">
        <f t="shared" si="40"/>
        <v>0</v>
      </c>
      <c r="AL41" s="20">
        <f t="shared" si="37"/>
        <v>0</v>
      </c>
    </row>
    <row r="42" spans="6:38" ht="10.5" customHeight="1" x14ac:dyDescent="0.25">
      <c r="F42" s="108"/>
      <c r="G42" s="15" t="s">
        <v>131</v>
      </c>
      <c r="H42" s="250">
        <v>0</v>
      </c>
      <c r="I42" s="251">
        <v>0</v>
      </c>
      <c r="J42" s="251">
        <v>0</v>
      </c>
      <c r="K42" s="251">
        <v>0</v>
      </c>
      <c r="L42" s="25">
        <f t="shared" si="36"/>
        <v>0</v>
      </c>
      <c r="M42" s="108"/>
      <c r="N42" s="15" t="s">
        <v>228</v>
      </c>
      <c r="O42" s="249">
        <v>0</v>
      </c>
      <c r="P42" s="248">
        <v>0</v>
      </c>
      <c r="Q42" s="254">
        <v>1</v>
      </c>
      <c r="R42" s="21">
        <f t="shared" si="38"/>
        <v>0</v>
      </c>
      <c r="S42" s="108"/>
      <c r="T42" s="5"/>
      <c r="U42" s="5"/>
      <c r="V42" s="5"/>
      <c r="W42" s="5"/>
      <c r="X42" s="5"/>
      <c r="Y42" s="5"/>
      <c r="Z42" s="108"/>
      <c r="AA42" s="5" t="s">
        <v>132</v>
      </c>
      <c r="AB42" s="21">
        <f t="shared" ref="AB42:AK42" si="41">ROUND(AB41*$AA44,0)</f>
        <v>0</v>
      </c>
      <c r="AC42" s="21">
        <f t="shared" si="41"/>
        <v>0</v>
      </c>
      <c r="AD42" s="21">
        <f t="shared" si="41"/>
        <v>0</v>
      </c>
      <c r="AE42" s="21">
        <f t="shared" si="41"/>
        <v>0</v>
      </c>
      <c r="AF42" s="21">
        <f t="shared" si="41"/>
        <v>0</v>
      </c>
      <c r="AG42" s="21">
        <f t="shared" si="41"/>
        <v>0</v>
      </c>
      <c r="AH42" s="21">
        <f t="shared" si="41"/>
        <v>0</v>
      </c>
      <c r="AI42" s="21">
        <f t="shared" si="41"/>
        <v>0</v>
      </c>
      <c r="AJ42" s="21">
        <f t="shared" si="41"/>
        <v>0</v>
      </c>
      <c r="AK42" s="21">
        <f t="shared" si="41"/>
        <v>0</v>
      </c>
      <c r="AL42" s="20">
        <f t="shared" si="37"/>
        <v>0</v>
      </c>
    </row>
    <row r="43" spans="6:38" ht="10.5" customHeight="1" x14ac:dyDescent="0.25">
      <c r="F43" s="108"/>
      <c r="G43" s="5" t="s">
        <v>46</v>
      </c>
      <c r="H43" s="20"/>
      <c r="I43" s="55"/>
      <c r="J43" s="20"/>
      <c r="K43" s="20"/>
      <c r="L43" s="27">
        <f>SUM(L37:L42)</f>
        <v>0</v>
      </c>
      <c r="M43" s="108"/>
      <c r="N43" s="15" t="s">
        <v>229</v>
      </c>
      <c r="O43" s="249">
        <v>0</v>
      </c>
      <c r="P43" s="248">
        <v>0</v>
      </c>
      <c r="Q43" s="254">
        <v>1</v>
      </c>
      <c r="R43" s="21">
        <f t="shared" si="38"/>
        <v>0</v>
      </c>
      <c r="S43" s="108"/>
      <c r="T43" s="5"/>
      <c r="U43" s="5"/>
      <c r="V43" s="5"/>
      <c r="W43" s="5"/>
      <c r="X43" s="5"/>
      <c r="Y43" s="5"/>
      <c r="Z43" s="108"/>
      <c r="AA43" s="5" t="s">
        <v>9</v>
      </c>
      <c r="AB43" s="24">
        <f t="shared" ref="AB43:AK43" si="42">AB40+AB42</f>
        <v>0</v>
      </c>
      <c r="AC43" s="24">
        <f t="shared" si="42"/>
        <v>0</v>
      </c>
      <c r="AD43" s="24">
        <f t="shared" si="42"/>
        <v>0</v>
      </c>
      <c r="AE43" s="24">
        <f t="shared" si="42"/>
        <v>0</v>
      </c>
      <c r="AF43" s="24">
        <f t="shared" si="42"/>
        <v>0</v>
      </c>
      <c r="AG43" s="24">
        <f t="shared" si="42"/>
        <v>0</v>
      </c>
      <c r="AH43" s="24">
        <f t="shared" si="42"/>
        <v>0</v>
      </c>
      <c r="AI43" s="24">
        <f t="shared" si="42"/>
        <v>0</v>
      </c>
      <c r="AJ43" s="24">
        <f t="shared" si="42"/>
        <v>0</v>
      </c>
      <c r="AK43" s="24">
        <f t="shared" si="42"/>
        <v>0</v>
      </c>
      <c r="AL43" s="29">
        <f t="shared" si="37"/>
        <v>0</v>
      </c>
    </row>
    <row r="44" spans="6:38" ht="10.5" customHeight="1" x14ac:dyDescent="0.25">
      <c r="F44" s="108"/>
      <c r="G44" s="5"/>
      <c r="H44" s="28"/>
      <c r="I44" s="56"/>
      <c r="J44" s="5"/>
      <c r="K44" s="5"/>
      <c r="L44" s="5"/>
      <c r="M44" s="108"/>
      <c r="N44" s="15" t="s">
        <v>230</v>
      </c>
      <c r="O44" s="249">
        <v>0</v>
      </c>
      <c r="P44" s="248">
        <v>0</v>
      </c>
      <c r="Q44" s="254">
        <v>1</v>
      </c>
      <c r="R44" s="25">
        <f t="shared" si="38"/>
        <v>0</v>
      </c>
      <c r="S44" s="108"/>
      <c r="T44" s="5"/>
      <c r="U44" s="5"/>
      <c r="V44" s="5"/>
      <c r="W44" s="5"/>
      <c r="X44" s="5"/>
      <c r="Y44" s="5"/>
      <c r="Z44" s="108"/>
      <c r="AA44" s="257">
        <v>0.1</v>
      </c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6:38" ht="10.5" customHeight="1" x14ac:dyDescent="0.25">
      <c r="F45" s="108"/>
      <c r="M45" s="108"/>
      <c r="N45" s="5" t="s">
        <v>46</v>
      </c>
      <c r="O45" s="5"/>
      <c r="P45" s="5"/>
      <c r="Q45" s="5"/>
      <c r="R45" s="27">
        <f>SUM(R40:R44)</f>
        <v>0</v>
      </c>
      <c r="S45" s="108"/>
      <c r="T45" s="5"/>
      <c r="U45" s="5"/>
      <c r="V45" s="5"/>
      <c r="W45" s="5"/>
      <c r="X45" s="5"/>
      <c r="Y45" s="5"/>
      <c r="Z45" s="108"/>
    </row>
    <row r="46" spans="6:38" ht="10.5" customHeight="1" x14ac:dyDescent="0.25">
      <c r="F46" s="108"/>
      <c r="G46" s="5" t="s">
        <v>104</v>
      </c>
      <c r="H46" s="252"/>
      <c r="I46" s="252"/>
      <c r="J46" s="252"/>
      <c r="K46" s="252"/>
      <c r="L46" s="252"/>
      <c r="M46" s="108"/>
      <c r="N46" s="5"/>
      <c r="O46" s="5"/>
      <c r="P46" s="5"/>
      <c r="Q46" s="5"/>
      <c r="R46" s="5"/>
      <c r="S46" s="108"/>
      <c r="T46" s="5"/>
      <c r="U46" s="5"/>
      <c r="V46" s="5"/>
      <c r="W46" s="5"/>
      <c r="X46" s="5"/>
      <c r="Y46" s="5"/>
      <c r="Z46" s="108"/>
    </row>
    <row r="47" spans="6:38" ht="10.5" customHeight="1" x14ac:dyDescent="0.25">
      <c r="F47" s="108"/>
      <c r="G47" s="5"/>
      <c r="H47" s="19" t="s">
        <v>112</v>
      </c>
      <c r="I47" s="18" t="s">
        <v>113</v>
      </c>
      <c r="J47" s="18" t="s">
        <v>114</v>
      </c>
      <c r="K47" s="18" t="s">
        <v>115</v>
      </c>
      <c r="L47" s="18" t="s">
        <v>46</v>
      </c>
      <c r="M47" s="108"/>
      <c r="N47" s="345" t="s">
        <v>153</v>
      </c>
      <c r="O47" s="345"/>
      <c r="P47" s="345"/>
      <c r="Q47" s="345"/>
      <c r="R47" s="345"/>
      <c r="S47" s="108"/>
      <c r="T47" s="5"/>
      <c r="U47" s="5"/>
      <c r="V47" s="5"/>
      <c r="W47" s="5"/>
      <c r="X47" s="5"/>
      <c r="Y47" s="5"/>
      <c r="Z47" s="108"/>
      <c r="AA47" s="17" t="s">
        <v>238</v>
      </c>
      <c r="AB47" s="5"/>
      <c r="AC47" s="253" t="s">
        <v>151</v>
      </c>
      <c r="AD47" s="253"/>
      <c r="AE47" s="39"/>
      <c r="AF47" s="5"/>
      <c r="AG47" s="5"/>
      <c r="AH47" s="39"/>
      <c r="AI47" s="5"/>
      <c r="AJ47" s="5"/>
      <c r="AK47" s="5"/>
      <c r="AL47" s="5"/>
    </row>
    <row r="48" spans="6:38" ht="10.5" customHeight="1" x14ac:dyDescent="0.25">
      <c r="F48" s="108"/>
      <c r="G48" s="15" t="s">
        <v>119</v>
      </c>
      <c r="H48" s="247">
        <v>0</v>
      </c>
      <c r="I48" s="248">
        <v>0</v>
      </c>
      <c r="J48" s="248">
        <v>0</v>
      </c>
      <c r="K48" s="248">
        <v>0</v>
      </c>
      <c r="L48" s="21">
        <f t="shared" ref="L48:L53" si="43">ROUND(H48*I48*J48*K48,0)</f>
        <v>0</v>
      </c>
      <c r="M48" s="108"/>
      <c r="N48" s="5" t="s">
        <v>136</v>
      </c>
      <c r="O48" s="252"/>
      <c r="P48" s="252"/>
      <c r="Q48" s="252"/>
      <c r="R48" s="252"/>
      <c r="S48" s="108"/>
      <c r="T48" s="5"/>
      <c r="U48" s="5"/>
      <c r="V48" s="5"/>
      <c r="W48" s="5"/>
      <c r="X48" s="5"/>
      <c r="Y48" s="5"/>
      <c r="Z48" s="108"/>
      <c r="AA48" s="5"/>
      <c r="AB48" s="18" t="s">
        <v>107</v>
      </c>
      <c r="AC48" s="18" t="s">
        <v>108</v>
      </c>
      <c r="AD48" s="18" t="s">
        <v>109</v>
      </c>
      <c r="AE48" s="18" t="s">
        <v>110</v>
      </c>
      <c r="AF48" s="18" t="s">
        <v>111</v>
      </c>
      <c r="AG48" s="18" t="s">
        <v>190</v>
      </c>
      <c r="AH48" s="18" t="s">
        <v>191</v>
      </c>
      <c r="AI48" s="18" t="s">
        <v>192</v>
      </c>
      <c r="AJ48" s="18" t="s">
        <v>193</v>
      </c>
      <c r="AK48" s="18" t="s">
        <v>194</v>
      </c>
      <c r="AL48" s="5" t="s">
        <v>9</v>
      </c>
    </row>
    <row r="49" spans="6:38" ht="10.5" customHeight="1" x14ac:dyDescent="0.25">
      <c r="F49" s="108"/>
      <c r="G49" s="15" t="s">
        <v>122</v>
      </c>
      <c r="H49" s="249">
        <v>0</v>
      </c>
      <c r="I49" s="248">
        <v>0</v>
      </c>
      <c r="J49" s="248">
        <v>0</v>
      </c>
      <c r="K49" s="248">
        <v>0</v>
      </c>
      <c r="L49" s="21">
        <f t="shared" si="43"/>
        <v>0</v>
      </c>
      <c r="M49" s="108"/>
      <c r="N49" s="5"/>
      <c r="O49" s="18" t="s">
        <v>112</v>
      </c>
      <c r="P49" s="18" t="s">
        <v>116</v>
      </c>
      <c r="Q49" s="18" t="s">
        <v>117</v>
      </c>
      <c r="R49" s="18" t="s">
        <v>46</v>
      </c>
      <c r="S49" s="108"/>
      <c r="Z49" s="108"/>
      <c r="AA49" s="5" t="s">
        <v>118</v>
      </c>
      <c r="AB49" s="247">
        <v>0</v>
      </c>
      <c r="AC49" s="247">
        <v>0</v>
      </c>
      <c r="AD49" s="247">
        <v>0</v>
      </c>
      <c r="AE49" s="247">
        <v>0</v>
      </c>
      <c r="AF49" s="247">
        <v>0</v>
      </c>
      <c r="AG49" s="247">
        <v>0</v>
      </c>
      <c r="AH49" s="247">
        <v>0</v>
      </c>
      <c r="AI49" s="247">
        <v>0</v>
      </c>
      <c r="AJ49" s="247">
        <v>0</v>
      </c>
      <c r="AK49" s="247">
        <v>0</v>
      </c>
      <c r="AL49" s="20">
        <f>SUM(AB49:AK49)</f>
        <v>0</v>
      </c>
    </row>
    <row r="50" spans="6:38" ht="10.5" customHeight="1" x14ac:dyDescent="0.25">
      <c r="F50" s="108"/>
      <c r="G50" s="15" t="s">
        <v>124</v>
      </c>
      <c r="H50" s="247">
        <v>0</v>
      </c>
      <c r="I50" s="248">
        <v>0</v>
      </c>
      <c r="J50" s="248">
        <v>0</v>
      </c>
      <c r="K50" s="248">
        <v>0</v>
      </c>
      <c r="L50" s="21">
        <f t="shared" si="43"/>
        <v>0</v>
      </c>
      <c r="M50" s="108"/>
      <c r="N50" s="15" t="s">
        <v>140</v>
      </c>
      <c r="O50" s="249">
        <v>0</v>
      </c>
      <c r="P50" s="248">
        <v>0</v>
      </c>
      <c r="Q50" s="254">
        <v>1</v>
      </c>
      <c r="R50" s="21">
        <f t="shared" ref="R50:R54" si="44">ROUND(O50*P50*Q50,0)</f>
        <v>0</v>
      </c>
      <c r="S50" s="108"/>
      <c r="Z50" s="108"/>
      <c r="AA50" s="5" t="s">
        <v>121</v>
      </c>
      <c r="AB50" s="247">
        <v>0</v>
      </c>
      <c r="AC50" s="247">
        <v>0</v>
      </c>
      <c r="AD50" s="247">
        <v>0</v>
      </c>
      <c r="AE50" s="247">
        <v>0</v>
      </c>
      <c r="AF50" s="247">
        <v>0</v>
      </c>
      <c r="AG50" s="247">
        <v>0</v>
      </c>
      <c r="AH50" s="247">
        <v>0</v>
      </c>
      <c r="AI50" s="247">
        <v>0</v>
      </c>
      <c r="AJ50" s="247">
        <v>0</v>
      </c>
      <c r="AK50" s="247">
        <v>0</v>
      </c>
      <c r="AL50" s="20">
        <f>SUM(AB50:AK50)</f>
        <v>0</v>
      </c>
    </row>
    <row r="51" spans="6:38" ht="10.5" customHeight="1" x14ac:dyDescent="0.25">
      <c r="F51" s="108"/>
      <c r="G51" s="15" t="s">
        <v>126</v>
      </c>
      <c r="H51" s="247">
        <f>ROUND(10.1+13.3+26.3,0)</f>
        <v>50</v>
      </c>
      <c r="I51" s="248">
        <v>0</v>
      </c>
      <c r="J51" s="248">
        <v>0</v>
      </c>
      <c r="K51" s="248">
        <v>0</v>
      </c>
      <c r="L51" s="21">
        <f t="shared" si="43"/>
        <v>0</v>
      </c>
      <c r="M51" s="108"/>
      <c r="N51" s="15" t="s">
        <v>142</v>
      </c>
      <c r="O51" s="249">
        <v>0</v>
      </c>
      <c r="P51" s="248">
        <v>0</v>
      </c>
      <c r="Q51" s="254">
        <v>1</v>
      </c>
      <c r="R51" s="21">
        <f t="shared" si="44"/>
        <v>0</v>
      </c>
      <c r="S51" s="108"/>
      <c r="Z51" s="108"/>
      <c r="AA51" s="5" t="s">
        <v>123</v>
      </c>
      <c r="AB51" s="247">
        <v>0</v>
      </c>
      <c r="AC51" s="247">
        <v>0</v>
      </c>
      <c r="AD51" s="247">
        <v>0</v>
      </c>
      <c r="AE51" s="247">
        <v>0</v>
      </c>
      <c r="AF51" s="247">
        <v>0</v>
      </c>
      <c r="AG51" s="247">
        <v>0</v>
      </c>
      <c r="AH51" s="247">
        <v>0</v>
      </c>
      <c r="AI51" s="247">
        <v>0</v>
      </c>
      <c r="AJ51" s="247">
        <v>0</v>
      </c>
      <c r="AK51" s="247">
        <v>0</v>
      </c>
      <c r="AL51" s="20">
        <f>SUM(AB51:AK51)</f>
        <v>0</v>
      </c>
    </row>
    <row r="52" spans="6:38" ht="10.5" customHeight="1" x14ac:dyDescent="0.25">
      <c r="F52" s="108"/>
      <c r="G52" s="15" t="s">
        <v>128</v>
      </c>
      <c r="H52" s="247">
        <v>0</v>
      </c>
      <c r="I52" s="248">
        <v>0</v>
      </c>
      <c r="J52" s="248">
        <v>0</v>
      </c>
      <c r="K52" s="248">
        <v>0</v>
      </c>
      <c r="L52" s="21">
        <f t="shared" si="43"/>
        <v>0</v>
      </c>
      <c r="M52" s="108"/>
      <c r="N52" s="15" t="s">
        <v>144</v>
      </c>
      <c r="O52" s="249">
        <v>0</v>
      </c>
      <c r="P52" s="248">
        <v>0</v>
      </c>
      <c r="Q52" s="254">
        <v>1</v>
      </c>
      <c r="R52" s="21">
        <f t="shared" si="44"/>
        <v>0</v>
      </c>
      <c r="S52" s="108"/>
      <c r="Z52" s="108"/>
      <c r="AA52" s="5" t="s">
        <v>125</v>
      </c>
      <c r="AB52" s="247">
        <v>0</v>
      </c>
      <c r="AC52" s="247">
        <v>0</v>
      </c>
      <c r="AD52" s="247">
        <v>0</v>
      </c>
      <c r="AE52" s="247">
        <v>0</v>
      </c>
      <c r="AF52" s="247">
        <v>0</v>
      </c>
      <c r="AG52" s="247">
        <v>0</v>
      </c>
      <c r="AH52" s="247">
        <v>0</v>
      </c>
      <c r="AI52" s="247">
        <v>0</v>
      </c>
      <c r="AJ52" s="247">
        <v>0</v>
      </c>
      <c r="AK52" s="247">
        <v>0</v>
      </c>
      <c r="AL52" s="20">
        <f>SUM(AB52:AK52)</f>
        <v>0</v>
      </c>
    </row>
    <row r="53" spans="6:38" ht="10.5" customHeight="1" x14ac:dyDescent="0.25">
      <c r="F53" s="108"/>
      <c r="G53" s="15" t="s">
        <v>131</v>
      </c>
      <c r="H53" s="250">
        <v>0</v>
      </c>
      <c r="I53" s="251">
        <v>0</v>
      </c>
      <c r="J53" s="251">
        <v>0</v>
      </c>
      <c r="K53" s="251">
        <v>0</v>
      </c>
      <c r="L53" s="25">
        <f t="shared" si="43"/>
        <v>0</v>
      </c>
      <c r="M53" s="108"/>
      <c r="N53" s="15" t="s">
        <v>146</v>
      </c>
      <c r="O53" s="249">
        <v>0</v>
      </c>
      <c r="P53" s="248">
        <v>0</v>
      </c>
      <c r="Q53" s="254">
        <v>1</v>
      </c>
      <c r="R53" s="21">
        <f t="shared" si="44"/>
        <v>0</v>
      </c>
      <c r="S53" s="108"/>
      <c r="Z53" s="108"/>
      <c r="AA53" s="5" t="s">
        <v>127</v>
      </c>
      <c r="AB53" s="247">
        <v>0</v>
      </c>
      <c r="AC53" s="247">
        <v>0</v>
      </c>
      <c r="AD53" s="247">
        <v>0</v>
      </c>
      <c r="AE53" s="247">
        <v>0</v>
      </c>
      <c r="AF53" s="247">
        <v>0</v>
      </c>
      <c r="AG53" s="247">
        <v>0</v>
      </c>
      <c r="AH53" s="247">
        <v>0</v>
      </c>
      <c r="AI53" s="247">
        <v>0</v>
      </c>
      <c r="AJ53" s="247">
        <v>0</v>
      </c>
      <c r="AK53" s="247">
        <v>0</v>
      </c>
      <c r="AL53" s="20">
        <f t="shared" ref="AL53:AL56" si="45">SUM(AB53:AK53)</f>
        <v>0</v>
      </c>
    </row>
    <row r="54" spans="6:38" ht="10.5" customHeight="1" x14ac:dyDescent="0.25">
      <c r="F54" s="108"/>
      <c r="G54" s="5" t="s">
        <v>46</v>
      </c>
      <c r="H54" s="20"/>
      <c r="I54" s="55"/>
      <c r="J54" s="20"/>
      <c r="K54" s="20"/>
      <c r="L54" s="27">
        <f>SUM(L48:L53)</f>
        <v>0</v>
      </c>
      <c r="M54" s="108"/>
      <c r="N54" s="45" t="s">
        <v>148</v>
      </c>
      <c r="O54" s="249">
        <v>0</v>
      </c>
      <c r="P54" s="248">
        <v>0</v>
      </c>
      <c r="Q54" s="254">
        <v>1</v>
      </c>
      <c r="R54" s="25">
        <f t="shared" si="44"/>
        <v>0</v>
      </c>
      <c r="S54" s="108"/>
      <c r="Z54" s="108"/>
      <c r="AA54" s="5" t="s">
        <v>130</v>
      </c>
      <c r="AB54" s="247">
        <v>0</v>
      </c>
      <c r="AC54" s="247">
        <v>0</v>
      </c>
      <c r="AD54" s="247">
        <v>0</v>
      </c>
      <c r="AE54" s="247">
        <v>0</v>
      </c>
      <c r="AF54" s="247">
        <v>0</v>
      </c>
      <c r="AG54" s="247">
        <v>0</v>
      </c>
      <c r="AH54" s="247">
        <v>0</v>
      </c>
      <c r="AI54" s="247">
        <v>0</v>
      </c>
      <c r="AJ54" s="247">
        <v>0</v>
      </c>
      <c r="AK54" s="247">
        <v>0</v>
      </c>
      <c r="AL54" s="20">
        <f t="shared" si="45"/>
        <v>0</v>
      </c>
    </row>
    <row r="55" spans="6:38" ht="10.5" customHeight="1" x14ac:dyDescent="0.25">
      <c r="F55" s="108"/>
      <c r="G55" s="5"/>
      <c r="H55" s="5"/>
      <c r="I55" s="5"/>
      <c r="J55" s="5"/>
      <c r="K55" s="5"/>
      <c r="L55" s="5"/>
      <c r="M55" s="108"/>
      <c r="N55" s="5" t="s">
        <v>46</v>
      </c>
      <c r="O55" s="5"/>
      <c r="P55" s="5"/>
      <c r="Q55" s="5"/>
      <c r="R55" s="27">
        <f>SUM(R50:R54)</f>
        <v>0</v>
      </c>
      <c r="S55" s="108"/>
      <c r="Z55" s="108"/>
      <c r="AA55" s="5" t="s">
        <v>232</v>
      </c>
      <c r="AB55" s="247">
        <v>0</v>
      </c>
      <c r="AC55" s="247">
        <v>0</v>
      </c>
      <c r="AD55" s="247">
        <v>0</v>
      </c>
      <c r="AE55" s="247">
        <v>0</v>
      </c>
      <c r="AF55" s="247">
        <v>0</v>
      </c>
      <c r="AG55" s="247">
        <v>0</v>
      </c>
      <c r="AH55" s="247">
        <v>0</v>
      </c>
      <c r="AI55" s="247">
        <v>0</v>
      </c>
      <c r="AJ55" s="247">
        <v>0</v>
      </c>
      <c r="AK55" s="247">
        <v>0</v>
      </c>
      <c r="AL55" s="20">
        <f t="shared" si="45"/>
        <v>0</v>
      </c>
    </row>
    <row r="56" spans="6:38" ht="10.5" customHeight="1" x14ac:dyDescent="0.25">
      <c r="F56" s="108"/>
      <c r="G56" s="5"/>
      <c r="H56" s="5"/>
      <c r="I56" s="5"/>
      <c r="J56" s="5"/>
      <c r="K56" s="5"/>
      <c r="L56" s="5"/>
      <c r="M56" s="108"/>
      <c r="N56" s="5"/>
      <c r="O56" s="5"/>
      <c r="P56" s="5"/>
      <c r="Q56" s="5"/>
      <c r="R56" s="5"/>
      <c r="S56" s="108"/>
      <c r="Z56" s="108"/>
      <c r="AA56" s="5" t="s">
        <v>233</v>
      </c>
      <c r="AB56" s="247">
        <v>0</v>
      </c>
      <c r="AC56" s="247">
        <v>0</v>
      </c>
      <c r="AD56" s="247">
        <v>0</v>
      </c>
      <c r="AE56" s="247">
        <v>0</v>
      </c>
      <c r="AF56" s="247">
        <v>0</v>
      </c>
      <c r="AG56" s="247">
        <v>0</v>
      </c>
      <c r="AH56" s="247">
        <v>0</v>
      </c>
      <c r="AI56" s="247">
        <v>0</v>
      </c>
      <c r="AJ56" s="247">
        <v>0</v>
      </c>
      <c r="AK56" s="247">
        <v>0</v>
      </c>
      <c r="AL56" s="20">
        <f t="shared" si="45"/>
        <v>0</v>
      </c>
    </row>
    <row r="57" spans="6:38" ht="10.5" customHeight="1" x14ac:dyDescent="0.25">
      <c r="F57" s="108"/>
      <c r="G57" s="5" t="s">
        <v>104</v>
      </c>
      <c r="H57" s="252"/>
      <c r="I57" s="252"/>
      <c r="J57" s="252"/>
      <c r="K57" s="252"/>
      <c r="L57" s="252"/>
      <c r="M57" s="108"/>
      <c r="N57" s="345" t="s">
        <v>52</v>
      </c>
      <c r="O57" s="345"/>
      <c r="P57" s="345"/>
      <c r="Q57" s="345"/>
      <c r="R57" s="345"/>
      <c r="S57" s="108"/>
      <c r="Z57" s="108"/>
      <c r="AA57" s="5" t="s">
        <v>234</v>
      </c>
      <c r="AB57" s="247">
        <v>0</v>
      </c>
      <c r="AC57" s="247">
        <v>0</v>
      </c>
      <c r="AD57" s="247">
        <v>0</v>
      </c>
      <c r="AE57" s="247">
        <v>0</v>
      </c>
      <c r="AF57" s="247">
        <v>0</v>
      </c>
      <c r="AG57" s="247">
        <v>0</v>
      </c>
      <c r="AH57" s="247">
        <v>0</v>
      </c>
      <c r="AI57" s="247">
        <v>0</v>
      </c>
      <c r="AJ57" s="247">
        <v>0</v>
      </c>
      <c r="AK57" s="247">
        <v>0</v>
      </c>
      <c r="AL57" s="20">
        <f t="shared" ref="AL57:AL62" si="46">SUM(AB57:AK57)</f>
        <v>0</v>
      </c>
    </row>
    <row r="58" spans="6:38" ht="10.5" customHeight="1" x14ac:dyDescent="0.25">
      <c r="F58" s="108"/>
      <c r="G58" s="5"/>
      <c r="H58" s="19" t="s">
        <v>112</v>
      </c>
      <c r="I58" s="18" t="s">
        <v>113</v>
      </c>
      <c r="J58" s="18" t="s">
        <v>114</v>
      </c>
      <c r="K58" s="18" t="s">
        <v>115</v>
      </c>
      <c r="L58" s="18" t="s">
        <v>46</v>
      </c>
      <c r="M58" s="108"/>
      <c r="N58" s="5" t="s">
        <v>154</v>
      </c>
      <c r="O58" s="252"/>
      <c r="P58" s="252"/>
      <c r="Q58" s="252"/>
      <c r="R58" s="252"/>
      <c r="S58" s="108"/>
      <c r="Z58" s="108"/>
      <c r="AA58" s="33" t="s">
        <v>235</v>
      </c>
      <c r="AB58" s="255">
        <v>0</v>
      </c>
      <c r="AC58" s="255">
        <v>0</v>
      </c>
      <c r="AD58" s="255">
        <v>0</v>
      </c>
      <c r="AE58" s="255">
        <v>0</v>
      </c>
      <c r="AF58" s="255">
        <v>0</v>
      </c>
      <c r="AG58" s="255">
        <v>0</v>
      </c>
      <c r="AH58" s="255">
        <v>0</v>
      </c>
      <c r="AI58" s="255">
        <v>0</v>
      </c>
      <c r="AJ58" s="255">
        <v>0</v>
      </c>
      <c r="AK58" s="255">
        <v>0</v>
      </c>
      <c r="AL58" s="26">
        <f t="shared" si="46"/>
        <v>0</v>
      </c>
    </row>
    <row r="59" spans="6:38" ht="10.5" customHeight="1" x14ac:dyDescent="0.25">
      <c r="F59" s="108"/>
      <c r="G59" s="15" t="s">
        <v>119</v>
      </c>
      <c r="H59" s="247">
        <v>0</v>
      </c>
      <c r="I59" s="248">
        <v>0</v>
      </c>
      <c r="J59" s="248">
        <v>0</v>
      </c>
      <c r="K59" s="248">
        <v>0</v>
      </c>
      <c r="L59" s="21">
        <f t="shared" ref="L59:L64" si="47">ROUND(H59*I59*J59*K59,0)</f>
        <v>0</v>
      </c>
      <c r="M59" s="108"/>
      <c r="N59" s="5"/>
      <c r="O59" s="18" t="s">
        <v>112</v>
      </c>
      <c r="P59" s="18" t="s">
        <v>116</v>
      </c>
      <c r="Q59" s="18" t="s">
        <v>117</v>
      </c>
      <c r="R59" s="18" t="s">
        <v>46</v>
      </c>
      <c r="S59" s="108"/>
      <c r="Z59" s="108"/>
      <c r="AA59" s="5" t="s">
        <v>90</v>
      </c>
      <c r="AB59" s="21">
        <f t="shared" ref="AB59:AK59" si="48">SUM(AB49:AB58)</f>
        <v>0</v>
      </c>
      <c r="AC59" s="21">
        <f t="shared" si="48"/>
        <v>0</v>
      </c>
      <c r="AD59" s="21">
        <f t="shared" si="48"/>
        <v>0</v>
      </c>
      <c r="AE59" s="21">
        <f t="shared" si="48"/>
        <v>0</v>
      </c>
      <c r="AF59" s="21">
        <f t="shared" si="48"/>
        <v>0</v>
      </c>
      <c r="AG59" s="21">
        <f t="shared" si="48"/>
        <v>0</v>
      </c>
      <c r="AH59" s="21">
        <f t="shared" si="48"/>
        <v>0</v>
      </c>
      <c r="AI59" s="21">
        <f t="shared" si="48"/>
        <v>0</v>
      </c>
      <c r="AJ59" s="21">
        <f t="shared" si="48"/>
        <v>0</v>
      </c>
      <c r="AK59" s="21">
        <f t="shared" si="48"/>
        <v>0</v>
      </c>
      <c r="AL59" s="20">
        <f t="shared" si="46"/>
        <v>0</v>
      </c>
    </row>
    <row r="60" spans="6:38" ht="10.5" customHeight="1" x14ac:dyDescent="0.25">
      <c r="F60" s="108"/>
      <c r="G60" s="15" t="s">
        <v>122</v>
      </c>
      <c r="H60" s="249">
        <v>0</v>
      </c>
      <c r="I60" s="248">
        <v>0</v>
      </c>
      <c r="J60" s="248">
        <v>0</v>
      </c>
      <c r="K60" s="248">
        <v>0</v>
      </c>
      <c r="L60" s="21">
        <f t="shared" si="47"/>
        <v>0</v>
      </c>
      <c r="M60" s="108"/>
      <c r="N60" s="15" t="s">
        <v>53</v>
      </c>
      <c r="O60" s="249">
        <v>0</v>
      </c>
      <c r="P60" s="248">
        <v>0</v>
      </c>
      <c r="Q60" s="254">
        <v>1</v>
      </c>
      <c r="R60" s="21">
        <f t="shared" ref="R60:R64" si="49">ROUND(O60*P60*Q60,0)</f>
        <v>0</v>
      </c>
      <c r="S60" s="108"/>
      <c r="Z60" s="108"/>
      <c r="AA60" s="5" t="s">
        <v>94</v>
      </c>
      <c r="AB60" s="256">
        <f>AB59</f>
        <v>0</v>
      </c>
      <c r="AC60" s="256">
        <f t="shared" ref="AC60:AK60" si="50">AC59</f>
        <v>0</v>
      </c>
      <c r="AD60" s="256">
        <f t="shared" si="50"/>
        <v>0</v>
      </c>
      <c r="AE60" s="256">
        <f t="shared" ref="AE60:AG60" si="51">AE59</f>
        <v>0</v>
      </c>
      <c r="AF60" s="256">
        <f t="shared" si="51"/>
        <v>0</v>
      </c>
      <c r="AG60" s="256">
        <f t="shared" si="51"/>
        <v>0</v>
      </c>
      <c r="AH60" s="256">
        <f t="shared" si="50"/>
        <v>0</v>
      </c>
      <c r="AI60" s="256">
        <f t="shared" ref="AI60:AJ60" si="52">AI59</f>
        <v>0</v>
      </c>
      <c r="AJ60" s="256">
        <f t="shared" si="52"/>
        <v>0</v>
      </c>
      <c r="AK60" s="256">
        <f t="shared" si="50"/>
        <v>0</v>
      </c>
      <c r="AL60" s="20">
        <f t="shared" si="46"/>
        <v>0</v>
      </c>
    </row>
    <row r="61" spans="6:38" ht="10.5" customHeight="1" x14ac:dyDescent="0.25">
      <c r="F61" s="108"/>
      <c r="G61" s="15" t="s">
        <v>124</v>
      </c>
      <c r="H61" s="247">
        <v>0</v>
      </c>
      <c r="I61" s="248">
        <v>0</v>
      </c>
      <c r="J61" s="248">
        <v>0</v>
      </c>
      <c r="K61" s="248">
        <v>0</v>
      </c>
      <c r="L61" s="21">
        <f t="shared" si="47"/>
        <v>0</v>
      </c>
      <c r="M61" s="108"/>
      <c r="N61" s="15" t="s">
        <v>54</v>
      </c>
      <c r="O61" s="249">
        <v>0</v>
      </c>
      <c r="P61" s="248">
        <v>0</v>
      </c>
      <c r="Q61" s="254">
        <v>1</v>
      </c>
      <c r="R61" s="21">
        <f t="shared" si="49"/>
        <v>0</v>
      </c>
      <c r="S61" s="108"/>
      <c r="Z61" s="108"/>
      <c r="AA61" s="5" t="s">
        <v>132</v>
      </c>
      <c r="AB61" s="21">
        <f t="shared" ref="AB61:AK61" si="53">ROUND(AB60*$AA63,0)</f>
        <v>0</v>
      </c>
      <c r="AC61" s="21">
        <f t="shared" si="53"/>
        <v>0</v>
      </c>
      <c r="AD61" s="21">
        <f t="shared" si="53"/>
        <v>0</v>
      </c>
      <c r="AE61" s="21">
        <f t="shared" si="53"/>
        <v>0</v>
      </c>
      <c r="AF61" s="21">
        <f t="shared" si="53"/>
        <v>0</v>
      </c>
      <c r="AG61" s="21">
        <f t="shared" si="53"/>
        <v>0</v>
      </c>
      <c r="AH61" s="21">
        <f t="shared" si="53"/>
        <v>0</v>
      </c>
      <c r="AI61" s="21">
        <f t="shared" si="53"/>
        <v>0</v>
      </c>
      <c r="AJ61" s="21">
        <f t="shared" si="53"/>
        <v>0</v>
      </c>
      <c r="AK61" s="21">
        <f t="shared" si="53"/>
        <v>0</v>
      </c>
      <c r="AL61" s="20">
        <f t="shared" si="46"/>
        <v>0</v>
      </c>
    </row>
    <row r="62" spans="6:38" ht="10.5" customHeight="1" x14ac:dyDescent="0.25">
      <c r="F62" s="108"/>
      <c r="G62" s="15" t="s">
        <v>126</v>
      </c>
      <c r="H62" s="247">
        <f>ROUND(10.1+13.3+26.3,0)</f>
        <v>50</v>
      </c>
      <c r="I62" s="248">
        <v>0</v>
      </c>
      <c r="J62" s="248">
        <v>0</v>
      </c>
      <c r="K62" s="248">
        <v>0</v>
      </c>
      <c r="L62" s="21">
        <f t="shared" si="47"/>
        <v>0</v>
      </c>
      <c r="M62" s="108"/>
      <c r="N62" s="15" t="s">
        <v>155</v>
      </c>
      <c r="O62" s="249">
        <v>0</v>
      </c>
      <c r="P62" s="248">
        <v>0</v>
      </c>
      <c r="Q62" s="254">
        <v>1</v>
      </c>
      <c r="R62" s="21">
        <f t="shared" si="49"/>
        <v>0</v>
      </c>
      <c r="S62" s="108"/>
      <c r="Z62" s="108"/>
      <c r="AA62" s="5" t="s">
        <v>9</v>
      </c>
      <c r="AB62" s="24">
        <f>AB59+AB61</f>
        <v>0</v>
      </c>
      <c r="AC62" s="24">
        <f t="shared" ref="AC62:AK62" si="54">AC59+AC61</f>
        <v>0</v>
      </c>
      <c r="AD62" s="24">
        <f t="shared" si="54"/>
        <v>0</v>
      </c>
      <c r="AE62" s="24">
        <f t="shared" ref="AE62:AG62" si="55">AE59+AE61</f>
        <v>0</v>
      </c>
      <c r="AF62" s="24">
        <f t="shared" si="55"/>
        <v>0</v>
      </c>
      <c r="AG62" s="24">
        <f t="shared" si="55"/>
        <v>0</v>
      </c>
      <c r="AH62" s="24">
        <f t="shared" si="54"/>
        <v>0</v>
      </c>
      <c r="AI62" s="24">
        <f t="shared" ref="AI62:AJ62" si="56">AI59+AI61</f>
        <v>0</v>
      </c>
      <c r="AJ62" s="24">
        <f t="shared" si="56"/>
        <v>0</v>
      </c>
      <c r="AK62" s="24">
        <f t="shared" si="54"/>
        <v>0</v>
      </c>
      <c r="AL62" s="29">
        <f t="shared" si="46"/>
        <v>0</v>
      </c>
    </row>
    <row r="63" spans="6:38" ht="10.5" customHeight="1" x14ac:dyDescent="0.25">
      <c r="F63" s="108"/>
      <c r="G63" s="15" t="s">
        <v>128</v>
      </c>
      <c r="H63" s="247">
        <v>0</v>
      </c>
      <c r="I63" s="248">
        <v>0</v>
      </c>
      <c r="J63" s="248">
        <v>0</v>
      </c>
      <c r="K63" s="248">
        <v>0</v>
      </c>
      <c r="L63" s="21">
        <f t="shared" si="47"/>
        <v>0</v>
      </c>
      <c r="M63" s="108"/>
      <c r="N63" s="15" t="s">
        <v>156</v>
      </c>
      <c r="O63" s="249">
        <v>0</v>
      </c>
      <c r="P63" s="248">
        <v>0</v>
      </c>
      <c r="Q63" s="254">
        <v>1</v>
      </c>
      <c r="R63" s="21">
        <f t="shared" si="49"/>
        <v>0</v>
      </c>
      <c r="S63" s="108"/>
      <c r="Z63" s="108"/>
      <c r="AA63" s="257">
        <v>0.1</v>
      </c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6:38" ht="10.5" customHeight="1" x14ac:dyDescent="0.25">
      <c r="F64" s="108"/>
      <c r="G64" s="15" t="s">
        <v>131</v>
      </c>
      <c r="H64" s="250">
        <v>0</v>
      </c>
      <c r="I64" s="251">
        <v>0</v>
      </c>
      <c r="J64" s="251">
        <v>0</v>
      </c>
      <c r="K64" s="251">
        <v>0</v>
      </c>
      <c r="L64" s="25">
        <f t="shared" si="47"/>
        <v>0</v>
      </c>
      <c r="M64" s="108"/>
      <c r="N64" s="45" t="s">
        <v>157</v>
      </c>
      <c r="O64" s="249">
        <v>0</v>
      </c>
      <c r="P64" s="248">
        <v>0</v>
      </c>
      <c r="Q64" s="254">
        <v>1</v>
      </c>
      <c r="R64" s="25">
        <f t="shared" si="49"/>
        <v>0</v>
      </c>
      <c r="S64" s="108"/>
      <c r="Z64" s="108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6:26" ht="10.5" customHeight="1" x14ac:dyDescent="0.25">
      <c r="F65" s="108"/>
      <c r="G65" s="5" t="s">
        <v>46</v>
      </c>
      <c r="H65" s="20"/>
      <c r="I65" s="55"/>
      <c r="J65" s="20"/>
      <c r="K65" s="20"/>
      <c r="L65" s="27">
        <f>SUM(L59:L64)</f>
        <v>0</v>
      </c>
      <c r="M65" s="108"/>
      <c r="N65" s="5" t="s">
        <v>46</v>
      </c>
      <c r="O65" s="5"/>
      <c r="P65" s="5"/>
      <c r="Q65" s="5"/>
      <c r="R65" s="27">
        <f>SUM(R60:R64)</f>
        <v>0</v>
      </c>
      <c r="S65" s="108"/>
      <c r="Z65" s="108"/>
    </row>
    <row r="66" spans="6:26" ht="15" customHeight="1" x14ac:dyDescent="0.25">
      <c r="F66" s="108"/>
      <c r="M66" s="108"/>
      <c r="S66" s="108"/>
      <c r="Z66" s="108"/>
    </row>
    <row r="67" spans="6:26" ht="12.5" x14ac:dyDescent="0.25">
      <c r="F67" s="108"/>
      <c r="M67" s="108"/>
      <c r="N67" s="345" t="s">
        <v>247</v>
      </c>
      <c r="O67" s="345"/>
      <c r="P67" s="345"/>
      <c r="Q67" s="345"/>
      <c r="S67" s="108"/>
      <c r="Z67" s="108"/>
    </row>
    <row r="68" spans="6:26" ht="12.5" x14ac:dyDescent="0.25">
      <c r="F68" s="108"/>
      <c r="M68" s="108"/>
      <c r="N68" s="5" t="s">
        <v>137</v>
      </c>
      <c r="O68" s="252"/>
      <c r="P68" s="252"/>
      <c r="Q68" s="252"/>
      <c r="S68" s="108"/>
      <c r="Z68" s="108"/>
    </row>
    <row r="69" spans="6:26" ht="12.5" x14ac:dyDescent="0.25">
      <c r="F69" s="108"/>
      <c r="M69" s="108"/>
      <c r="N69" s="5"/>
      <c r="O69" s="18" t="s">
        <v>138</v>
      </c>
      <c r="P69" s="18" t="s">
        <v>139</v>
      </c>
      <c r="Q69" s="18" t="s">
        <v>46</v>
      </c>
      <c r="S69" s="108"/>
      <c r="Z69" s="108"/>
    </row>
    <row r="70" spans="6:26" ht="12.5" x14ac:dyDescent="0.25">
      <c r="F70" s="108"/>
      <c r="M70" s="108"/>
      <c r="N70" s="15" t="s">
        <v>141</v>
      </c>
      <c r="O70" s="249">
        <v>0</v>
      </c>
      <c r="P70" s="248">
        <v>0</v>
      </c>
      <c r="Q70" s="20">
        <f t="shared" ref="Q70:Q72" si="57">ROUND(O70*P70,0)</f>
        <v>0</v>
      </c>
      <c r="S70" s="108"/>
      <c r="Z70" s="108"/>
    </row>
    <row r="71" spans="6:26" ht="12.5" x14ac:dyDescent="0.25">
      <c r="F71" s="108"/>
      <c r="M71" s="108"/>
      <c r="N71" s="15" t="s">
        <v>143</v>
      </c>
      <c r="O71" s="247">
        <v>0</v>
      </c>
      <c r="P71" s="248">
        <v>0</v>
      </c>
      <c r="Q71" s="20">
        <f t="shared" si="57"/>
        <v>0</v>
      </c>
      <c r="S71" s="108"/>
      <c r="Z71" s="108"/>
    </row>
    <row r="72" spans="6:26" ht="12.5" x14ac:dyDescent="0.25">
      <c r="F72" s="108"/>
      <c r="M72" s="108"/>
      <c r="N72" s="15" t="s">
        <v>145</v>
      </c>
      <c r="O72" s="249">
        <v>0</v>
      </c>
      <c r="P72" s="248">
        <v>0</v>
      </c>
      <c r="Q72" s="20">
        <f t="shared" si="57"/>
        <v>0</v>
      </c>
      <c r="S72" s="108"/>
      <c r="Z72" s="108"/>
    </row>
    <row r="73" spans="6:26" ht="12.5" x14ac:dyDescent="0.25">
      <c r="F73" s="108"/>
      <c r="M73" s="108"/>
      <c r="N73" s="15" t="s">
        <v>147</v>
      </c>
      <c r="O73" s="249">
        <v>0</v>
      </c>
      <c r="P73" s="248">
        <v>0</v>
      </c>
      <c r="Q73" s="20">
        <f t="shared" ref="Q73" si="58">ROUND(O73*P73,0)</f>
        <v>0</v>
      </c>
      <c r="S73" s="108"/>
      <c r="Z73" s="108"/>
    </row>
    <row r="74" spans="6:26" ht="12.5" x14ac:dyDescent="0.25">
      <c r="F74" s="108"/>
      <c r="M74" s="108"/>
      <c r="N74" s="15" t="s">
        <v>231</v>
      </c>
      <c r="O74" s="247">
        <v>0</v>
      </c>
      <c r="P74" s="248">
        <v>0</v>
      </c>
      <c r="Q74" s="20">
        <f>ROUND(O74*P74,0)</f>
        <v>0</v>
      </c>
      <c r="S74" s="108"/>
      <c r="Z74" s="108"/>
    </row>
    <row r="75" spans="6:26" ht="12.5" x14ac:dyDescent="0.25">
      <c r="F75" s="108"/>
      <c r="M75" s="108"/>
      <c r="N75" s="5" t="s">
        <v>46</v>
      </c>
      <c r="O75" s="20"/>
      <c r="P75" s="5"/>
      <c r="Q75" s="27">
        <f>SUM(Q70:Q74)</f>
        <v>0</v>
      </c>
      <c r="S75" s="108"/>
      <c r="Z75" s="108"/>
    </row>
  </sheetData>
  <mergeCells count="30">
    <mergeCell ref="B12:D12"/>
    <mergeCell ref="B13:D13"/>
    <mergeCell ref="B14:D14"/>
    <mergeCell ref="B16:D16"/>
    <mergeCell ref="B20:D20"/>
    <mergeCell ref="B21:D21"/>
    <mergeCell ref="B11:D11"/>
    <mergeCell ref="B1:D1"/>
    <mergeCell ref="B2:D2"/>
    <mergeCell ref="B3:D3"/>
    <mergeCell ref="B7:D7"/>
    <mergeCell ref="B19:D19"/>
    <mergeCell ref="B17:D17"/>
    <mergeCell ref="B15:D15"/>
    <mergeCell ref="B18:D18"/>
    <mergeCell ref="B4:D4"/>
    <mergeCell ref="B5:D5"/>
    <mergeCell ref="B6:D6"/>
    <mergeCell ref="B8:D8"/>
    <mergeCell ref="B9:D9"/>
    <mergeCell ref="B10:D10"/>
    <mergeCell ref="AA1:AD1"/>
    <mergeCell ref="N57:R57"/>
    <mergeCell ref="T1:Y1"/>
    <mergeCell ref="N67:Q67"/>
    <mergeCell ref="G1:L1"/>
    <mergeCell ref="N1:R1"/>
    <mergeCell ref="N30:R30"/>
    <mergeCell ref="N37:R37"/>
    <mergeCell ref="N47:R47"/>
  </mergeCells>
  <phoneticPr fontId="23" type="noConversion"/>
  <dataValidations count="1">
    <dataValidation allowBlank="1" showErrorMessage="1" sqref="E16" xr:uid="{00000000-0002-0000-0200-000003000000}"/>
  </dataValidation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I1002"/>
  <sheetViews>
    <sheetView zoomScale="150" zoomScaleNormal="150" workbookViewId="0">
      <selection activeCell="H7" sqref="H7"/>
    </sheetView>
  </sheetViews>
  <sheetFormatPr defaultColWidth="14.453125" defaultRowHeight="15" customHeight="1" x14ac:dyDescent="0.25"/>
  <cols>
    <col min="1" max="1" width="13.453125" bestFit="1" customWidth="1"/>
    <col min="2" max="2" width="31.453125" bestFit="1" customWidth="1"/>
    <col min="3" max="3" width="17.1796875" bestFit="1" customWidth="1"/>
    <col min="4" max="4" width="23.26953125" bestFit="1" customWidth="1"/>
    <col min="5" max="5" width="18.1796875" bestFit="1" customWidth="1"/>
    <col min="6" max="6" width="9.81640625" bestFit="1" customWidth="1"/>
    <col min="7" max="7" width="16.81640625" bestFit="1" customWidth="1"/>
    <col min="8" max="8" width="17.54296875" bestFit="1" customWidth="1"/>
    <col min="9" max="9" width="14.54296875" customWidth="1"/>
  </cols>
  <sheetData>
    <row r="1" spans="1:9" ht="12.75" customHeight="1" thickBot="1" x14ac:dyDescent="0.3">
      <c r="G1" s="44"/>
      <c r="H1" s="44"/>
    </row>
    <row r="2" spans="1:9" ht="12.75" customHeight="1" x14ac:dyDescent="0.3">
      <c r="A2" s="1" t="s">
        <v>281</v>
      </c>
      <c r="B2" s="1" t="s">
        <v>282</v>
      </c>
      <c r="C2" s="1" t="s">
        <v>283</v>
      </c>
      <c r="D2" s="1" t="s">
        <v>284</v>
      </c>
      <c r="E2" s="1" t="s">
        <v>285</v>
      </c>
      <c r="F2" s="1" t="s">
        <v>286</v>
      </c>
      <c r="G2" s="85" t="s">
        <v>175</v>
      </c>
      <c r="H2" s="86" t="s">
        <v>300</v>
      </c>
      <c r="I2" s="1"/>
    </row>
    <row r="3" spans="1:9" ht="12.75" customHeight="1" x14ac:dyDescent="0.25">
      <c r="A3" s="44" t="s">
        <v>158</v>
      </c>
      <c r="B3" s="76" t="s">
        <v>11</v>
      </c>
      <c r="C3" s="76" t="s">
        <v>166</v>
      </c>
      <c r="D3" s="76" t="s">
        <v>94</v>
      </c>
      <c r="E3" s="2" t="s">
        <v>96</v>
      </c>
      <c r="F3" s="81">
        <v>0.52</v>
      </c>
      <c r="G3" s="87" t="s">
        <v>288</v>
      </c>
      <c r="H3" s="88">
        <v>225700</v>
      </c>
      <c r="I3" s="76"/>
    </row>
    <row r="4" spans="1:9" ht="12.75" customHeight="1" x14ac:dyDescent="0.25">
      <c r="A4" s="44" t="s">
        <v>159</v>
      </c>
      <c r="B4" s="76" t="s">
        <v>12</v>
      </c>
      <c r="C4" s="76" t="s">
        <v>87</v>
      </c>
      <c r="D4" s="76" t="s">
        <v>171</v>
      </c>
      <c r="E4" s="2" t="s">
        <v>172</v>
      </c>
      <c r="F4" s="81">
        <v>0.27600000000000002</v>
      </c>
      <c r="G4" s="89" t="s">
        <v>287</v>
      </c>
      <c r="H4" s="90">
        <f>H3/12*9</f>
        <v>169275</v>
      </c>
      <c r="I4" s="76"/>
    </row>
    <row r="5" spans="1:9" ht="12.75" customHeight="1" thickBot="1" x14ac:dyDescent="0.3">
      <c r="A5" s="44" t="s">
        <v>160</v>
      </c>
      <c r="B5" s="76" t="s">
        <v>13</v>
      </c>
      <c r="C5" s="76" t="s">
        <v>169</v>
      </c>
      <c r="D5" s="76"/>
      <c r="E5" s="2" t="s">
        <v>173</v>
      </c>
      <c r="F5" s="81">
        <v>0.26</v>
      </c>
      <c r="G5" s="91"/>
      <c r="H5" s="92" t="s">
        <v>301</v>
      </c>
      <c r="I5" s="76"/>
    </row>
    <row r="6" spans="1:9" ht="12.75" customHeight="1" thickBot="1" x14ac:dyDescent="0.3">
      <c r="A6" s="44" t="s">
        <v>161</v>
      </c>
      <c r="B6" s="76" t="s">
        <v>14</v>
      </c>
      <c r="C6" s="76" t="s">
        <v>170</v>
      </c>
      <c r="D6" s="76"/>
      <c r="E6" s="2" t="s">
        <v>216</v>
      </c>
      <c r="F6" s="82">
        <f>0.15/0.85</f>
        <v>0.17647058823529413</v>
      </c>
      <c r="G6" s="84"/>
      <c r="H6" s="44"/>
      <c r="I6" s="76"/>
    </row>
    <row r="7" spans="1:9" ht="12.75" customHeight="1" thickBot="1" x14ac:dyDescent="0.3">
      <c r="A7" s="44" t="s">
        <v>162</v>
      </c>
      <c r="B7" s="76" t="s">
        <v>15</v>
      </c>
      <c r="E7" s="2" t="s">
        <v>174</v>
      </c>
      <c r="F7" s="82">
        <f>0.3/0.7</f>
        <v>0.4285714285714286</v>
      </c>
      <c r="G7" s="101" t="s">
        <v>290</v>
      </c>
      <c r="H7" s="102">
        <v>25000</v>
      </c>
    </row>
    <row r="8" spans="1:9" ht="12.75" customHeight="1" x14ac:dyDescent="0.25">
      <c r="A8" s="44" t="s">
        <v>178</v>
      </c>
      <c r="B8" s="76" t="s">
        <v>10</v>
      </c>
      <c r="E8" s="2" t="s">
        <v>69</v>
      </c>
      <c r="F8" s="81">
        <v>0</v>
      </c>
      <c r="G8" s="81"/>
      <c r="H8" s="81"/>
    </row>
    <row r="9" spans="1:9" ht="12.75" customHeight="1" x14ac:dyDescent="0.25">
      <c r="A9" s="44" t="s">
        <v>186</v>
      </c>
      <c r="B9" s="76" t="s">
        <v>17</v>
      </c>
      <c r="G9" s="44"/>
      <c r="H9" s="44"/>
    </row>
    <row r="10" spans="1:9" ht="12.75" customHeight="1" x14ac:dyDescent="0.25">
      <c r="A10" s="44" t="s">
        <v>187</v>
      </c>
      <c r="B10" s="76" t="s">
        <v>163</v>
      </c>
    </row>
    <row r="11" spans="1:9" ht="12.75" customHeight="1" x14ac:dyDescent="0.25">
      <c r="A11" s="44" t="s">
        <v>188</v>
      </c>
      <c r="B11" s="44"/>
    </row>
    <row r="12" spans="1:9" ht="12.75" customHeight="1" x14ac:dyDescent="0.25">
      <c r="A12" s="44" t="s">
        <v>189</v>
      </c>
      <c r="B12" s="44"/>
    </row>
    <row r="13" spans="1:9" ht="12.75" customHeight="1" x14ac:dyDescent="0.25">
      <c r="A13" s="44" t="s">
        <v>254</v>
      </c>
      <c r="B13" s="44"/>
    </row>
    <row r="14" spans="1:9" ht="12.75" customHeight="1" x14ac:dyDescent="0.25">
      <c r="A14" s="44" t="s">
        <v>255</v>
      </c>
      <c r="B14" s="44"/>
    </row>
    <row r="15" spans="1:9" ht="12.75" customHeight="1" x14ac:dyDescent="0.25">
      <c r="A15" s="44" t="s">
        <v>256</v>
      </c>
      <c r="B15" s="44"/>
    </row>
    <row r="16" spans="1:9" ht="12.75" customHeight="1" x14ac:dyDescent="0.25">
      <c r="A16" s="44" t="s">
        <v>257</v>
      </c>
      <c r="B16" s="44"/>
    </row>
    <row r="17" spans="1:8" ht="12.75" customHeight="1" x14ac:dyDescent="0.25">
      <c r="A17" s="44" t="s">
        <v>258</v>
      </c>
      <c r="B17" s="44"/>
    </row>
    <row r="18" spans="1:8" ht="12.75" customHeight="1" x14ac:dyDescent="0.25">
      <c r="A18" s="44" t="s">
        <v>259</v>
      </c>
      <c r="B18" s="44"/>
      <c r="G18" s="30"/>
      <c r="H18" s="30"/>
    </row>
    <row r="19" spans="1:8" ht="12.75" customHeight="1" x14ac:dyDescent="0.25">
      <c r="A19" s="44" t="s">
        <v>260</v>
      </c>
      <c r="B19" s="44"/>
      <c r="G19" s="83"/>
      <c r="H19" s="83"/>
    </row>
    <row r="20" spans="1:8" ht="12.75" customHeight="1" x14ac:dyDescent="0.25">
      <c r="G20" s="32"/>
      <c r="H20" s="32"/>
    </row>
    <row r="21" spans="1:8" ht="12.75" customHeight="1" x14ac:dyDescent="0.25"/>
    <row r="22" spans="1:8" ht="12.75" customHeight="1" x14ac:dyDescent="0.25"/>
    <row r="23" spans="1:8" ht="12.75" customHeight="1" x14ac:dyDescent="0.25"/>
    <row r="24" spans="1:8" ht="12.75" customHeight="1" x14ac:dyDescent="0.25"/>
    <row r="25" spans="1:8" ht="12.75" customHeight="1" x14ac:dyDescent="0.25"/>
    <row r="26" spans="1:8" ht="12.75" customHeight="1" x14ac:dyDescent="0.25"/>
    <row r="27" spans="1:8" ht="12.75" customHeight="1" x14ac:dyDescent="0.25"/>
    <row r="28" spans="1:8" ht="12.75" customHeight="1" x14ac:dyDescent="0.25"/>
    <row r="29" spans="1:8" ht="12.75" customHeight="1" x14ac:dyDescent="0.25"/>
    <row r="30" spans="1:8" ht="12.75" customHeight="1" x14ac:dyDescent="0.25"/>
    <row r="31" spans="1:8" ht="12.75" customHeight="1" x14ac:dyDescent="0.25"/>
    <row r="32" spans="1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s="14" customFormat="1" ht="12.75" customHeight="1" x14ac:dyDescent="0.2"/>
    <row r="55" s="14" customFormat="1" ht="12.75" customHeight="1" x14ac:dyDescent="0.2"/>
    <row r="56" s="14" customFormat="1" ht="12.75" customHeight="1" x14ac:dyDescent="0.2"/>
    <row r="57" s="14" customFormat="1" ht="12.75" customHeight="1" x14ac:dyDescent="0.2"/>
    <row r="58" s="14" customFormat="1" ht="12.75" customHeight="1" x14ac:dyDescent="0.2"/>
    <row r="59" s="14" customFormat="1" ht="12.75" customHeight="1" x14ac:dyDescent="0.2"/>
    <row r="60" s="14" customFormat="1" ht="12.75" customHeight="1" x14ac:dyDescent="0.2"/>
    <row r="61" s="14" customFormat="1" ht="6" customHeight="1" x14ac:dyDescent="0.2"/>
    <row r="62" s="14" customFormat="1" ht="12.75" customHeight="1" x14ac:dyDescent="0.2"/>
    <row r="63" s="14" customFormat="1" ht="12.75" customHeight="1" x14ac:dyDescent="0.2"/>
    <row r="64" s="14" customFormat="1" ht="12.75" customHeight="1" x14ac:dyDescent="0.2"/>
    <row r="65" s="14" customFormat="1" ht="12.75" customHeight="1" x14ac:dyDescent="0.2"/>
    <row r="66" s="14" customFormat="1" ht="12.75" customHeight="1" x14ac:dyDescent="0.2"/>
    <row r="67" s="14" customFormat="1" ht="12.75" customHeight="1" x14ac:dyDescent="0.2"/>
    <row r="68" s="14" customFormat="1" ht="12.75" customHeight="1" x14ac:dyDescent="0.2"/>
    <row r="69" s="14" customFormat="1" ht="12.75" customHeight="1" x14ac:dyDescent="0.2"/>
    <row r="70" s="44" customFormat="1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sheetProtection selectLockedCells="1" selectUnlockedCells="1"/>
  <phoneticPr fontId="23" type="noConversion"/>
  <hyperlinks>
    <hyperlink ref="G2" r:id="rId1" xr:uid="{00000000-0004-0000-0400-000004000000}"/>
    <hyperlink ref="H5" r:id="rId2" location=":~:text=Effective%20January%201%2C%202025%2C%20the,Executive%20Level%20II%20is%20%24225%2C700." xr:uid="{902715D3-969D-504D-AC88-810EBA54FA3D}"/>
  </hyperlinks>
  <pageMargins left="0.7" right="0.7" top="0.75" bottom="0.75" header="0" footer="0"/>
  <pageSetup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28A3-CBD4-4332-9746-B99845B29266}">
  <sheetPr>
    <tabColor theme="9" tint="0.59999389629810485"/>
  </sheetPr>
  <dimension ref="A1:H155"/>
  <sheetViews>
    <sheetView workbookViewId="0">
      <selection activeCell="F15" sqref="F15"/>
    </sheetView>
  </sheetViews>
  <sheetFormatPr defaultColWidth="8.7265625" defaultRowHeight="15.5" x14ac:dyDescent="0.35"/>
  <cols>
    <col min="1" max="1" width="29.1796875" style="58" bestFit="1" customWidth="1"/>
    <col min="2" max="2" width="12.54296875" style="58" bestFit="1" customWidth="1"/>
    <col min="3" max="3" width="22.453125" style="58" bestFit="1" customWidth="1"/>
    <col min="4" max="4" width="9" style="59" bestFit="1" customWidth="1"/>
    <col min="5" max="5" width="9.26953125" style="62" bestFit="1" customWidth="1"/>
    <col min="6" max="6" width="20.453125" style="58" bestFit="1" customWidth="1"/>
    <col min="7" max="7" width="9.81640625" style="58" bestFit="1" customWidth="1"/>
    <col min="8" max="16384" width="8.7265625" style="58"/>
  </cols>
  <sheetData>
    <row r="1" spans="1:8" x14ac:dyDescent="0.35">
      <c r="F1" s="80" t="s">
        <v>291</v>
      </c>
      <c r="G1" s="367" t="s">
        <v>276</v>
      </c>
      <c r="H1" s="368"/>
    </row>
    <row r="2" spans="1:8" x14ac:dyDescent="0.35">
      <c r="F2" s="77"/>
      <c r="G2" s="78" t="s">
        <v>44</v>
      </c>
      <c r="H2" s="64" t="s">
        <v>262</v>
      </c>
    </row>
    <row r="3" spans="1:8" x14ac:dyDescent="0.35">
      <c r="F3" s="63" t="s">
        <v>11</v>
      </c>
      <c r="G3" s="78">
        <v>0.32190000000000002</v>
      </c>
      <c r="H3" s="307">
        <v>0</v>
      </c>
    </row>
    <row r="4" spans="1:8" x14ac:dyDescent="0.35">
      <c r="F4" s="63" t="s">
        <v>12</v>
      </c>
      <c r="G4" s="78">
        <v>0.32190000000000002</v>
      </c>
      <c r="H4" s="64">
        <v>8095</v>
      </c>
    </row>
    <row r="5" spans="1:8" x14ac:dyDescent="0.35">
      <c r="F5" s="63" t="s">
        <v>13</v>
      </c>
      <c r="G5" s="78">
        <v>0.32190000000000002</v>
      </c>
      <c r="H5" s="64">
        <v>8095</v>
      </c>
    </row>
    <row r="6" spans="1:8" x14ac:dyDescent="0.35">
      <c r="F6" s="63" t="s">
        <v>14</v>
      </c>
      <c r="G6" s="78">
        <v>0.32190000000000002</v>
      </c>
      <c r="H6" s="64">
        <v>8095</v>
      </c>
    </row>
    <row r="7" spans="1:8" x14ac:dyDescent="0.35">
      <c r="F7" s="63" t="s">
        <v>15</v>
      </c>
      <c r="G7" s="78">
        <v>8.1500000000000003E-2</v>
      </c>
      <c r="H7" s="64">
        <v>5590</v>
      </c>
    </row>
    <row r="8" spans="1:8" x14ac:dyDescent="0.35">
      <c r="F8" s="63" t="s">
        <v>10</v>
      </c>
      <c r="G8" s="78">
        <v>8.1500000000000003E-2</v>
      </c>
      <c r="H8" s="307">
        <v>3615.12</v>
      </c>
    </row>
    <row r="9" spans="1:8" x14ac:dyDescent="0.35">
      <c r="F9" s="63" t="s">
        <v>17</v>
      </c>
      <c r="G9" s="78">
        <v>8.1500000000000003E-2</v>
      </c>
      <c r="H9" s="307">
        <v>0</v>
      </c>
    </row>
    <row r="10" spans="1:8" ht="16" thickBot="1" x14ac:dyDescent="0.4">
      <c r="F10" s="65" t="s">
        <v>163</v>
      </c>
      <c r="G10" s="79">
        <v>8.1500000000000003E-2</v>
      </c>
      <c r="H10" s="308">
        <v>0</v>
      </c>
    </row>
    <row r="11" spans="1:8" x14ac:dyDescent="0.35">
      <c r="A11" s="57" t="s">
        <v>280</v>
      </c>
      <c r="B11" s="57" t="s">
        <v>261</v>
      </c>
      <c r="C11" s="57" t="s">
        <v>39</v>
      </c>
      <c r="D11" s="60" t="s">
        <v>44</v>
      </c>
      <c r="E11" s="61" t="s">
        <v>262</v>
      </c>
    </row>
    <row r="12" spans="1:8" s="57" customFormat="1" x14ac:dyDescent="0.35">
      <c r="A12" s="58"/>
    </row>
    <row r="13" spans="1:8" x14ac:dyDescent="0.35">
      <c r="A13" s="258" t="str">
        <f>_xlfn.CONCAT(C13,B13)</f>
        <v>Faculty SummerFY23-24</v>
      </c>
      <c r="B13" s="258" t="s">
        <v>158</v>
      </c>
      <c r="C13" s="258" t="s">
        <v>11</v>
      </c>
      <c r="D13" s="259">
        <v>0.32190000000000002</v>
      </c>
      <c r="E13" s="260">
        <v>0</v>
      </c>
    </row>
    <row r="14" spans="1:8" x14ac:dyDescent="0.35">
      <c r="A14" s="258" t="str">
        <f t="shared" ref="A14:A47" si="0">_xlfn.CONCAT(C14,B14)</f>
        <v>Faculty SummerFY24-25</v>
      </c>
      <c r="B14" s="258" t="s">
        <v>159</v>
      </c>
      <c r="C14" s="258" t="s">
        <v>11</v>
      </c>
      <c r="D14" s="259">
        <v>0.32190000000000002</v>
      </c>
      <c r="E14" s="260">
        <v>0</v>
      </c>
    </row>
    <row r="15" spans="1:8" x14ac:dyDescent="0.35">
      <c r="A15" s="58" t="str">
        <f t="shared" si="0"/>
        <v>Faculty SummerFY25-26</v>
      </c>
      <c r="B15" s="58" t="s">
        <v>160</v>
      </c>
      <c r="C15" s="58" t="s">
        <v>11</v>
      </c>
      <c r="D15" s="59">
        <v>0.32190000000000002</v>
      </c>
      <c r="E15" s="260">
        <v>0</v>
      </c>
    </row>
    <row r="16" spans="1:8" x14ac:dyDescent="0.35">
      <c r="A16" s="58" t="str">
        <f t="shared" si="0"/>
        <v>Faculty SummerFY26-27</v>
      </c>
      <c r="B16" s="58" t="s">
        <v>161</v>
      </c>
      <c r="C16" s="58" t="s">
        <v>11</v>
      </c>
      <c r="D16" s="59">
        <v>0.32190000000000002</v>
      </c>
      <c r="E16" s="62">
        <v>0</v>
      </c>
    </row>
    <row r="17" spans="1:5" x14ac:dyDescent="0.35">
      <c r="A17" s="58" t="str">
        <f t="shared" si="0"/>
        <v>Faculty SummerFY27-28</v>
      </c>
      <c r="B17" s="58" t="s">
        <v>162</v>
      </c>
      <c r="C17" s="58" t="s">
        <v>11</v>
      </c>
      <c r="D17" s="59">
        <v>0.32190000000000002</v>
      </c>
      <c r="E17" s="62">
        <v>0</v>
      </c>
    </row>
    <row r="18" spans="1:5" x14ac:dyDescent="0.35">
      <c r="A18" s="58" t="str">
        <f t="shared" si="0"/>
        <v>Faculty SummerFY28-29</v>
      </c>
      <c r="B18" s="58" t="s">
        <v>178</v>
      </c>
      <c r="C18" s="58" t="s">
        <v>11</v>
      </c>
      <c r="D18" s="59">
        <v>0.32190000000000002</v>
      </c>
      <c r="E18" s="62">
        <v>0</v>
      </c>
    </row>
    <row r="19" spans="1:5" x14ac:dyDescent="0.35">
      <c r="A19" s="58" t="str">
        <f t="shared" si="0"/>
        <v>Faculty SummerFY29-30</v>
      </c>
      <c r="B19" s="58" t="s">
        <v>186</v>
      </c>
      <c r="C19" s="58" t="s">
        <v>11</v>
      </c>
      <c r="D19" s="59">
        <v>0.32190000000000002</v>
      </c>
      <c r="E19" s="62">
        <v>0</v>
      </c>
    </row>
    <row r="20" spans="1:5" x14ac:dyDescent="0.35">
      <c r="A20" s="58" t="str">
        <f t="shared" si="0"/>
        <v>Faculty SummerFY30-31</v>
      </c>
      <c r="B20" s="58" t="s">
        <v>187</v>
      </c>
      <c r="C20" s="58" t="s">
        <v>11</v>
      </c>
      <c r="D20" s="59">
        <v>0.32190000000000002</v>
      </c>
      <c r="E20" s="62">
        <v>0</v>
      </c>
    </row>
    <row r="21" spans="1:5" x14ac:dyDescent="0.35">
      <c r="A21" s="58" t="str">
        <f t="shared" si="0"/>
        <v>Faculty SummerFY31-32</v>
      </c>
      <c r="B21" s="58" t="s">
        <v>188</v>
      </c>
      <c r="C21" s="58" t="s">
        <v>11</v>
      </c>
      <c r="D21" s="59">
        <v>0.32190000000000002</v>
      </c>
      <c r="E21" s="62">
        <v>0</v>
      </c>
    </row>
    <row r="22" spans="1:5" x14ac:dyDescent="0.35">
      <c r="A22" s="58" t="str">
        <f t="shared" si="0"/>
        <v>Faculty SummerFY32-33</v>
      </c>
      <c r="B22" s="58" t="s">
        <v>189</v>
      </c>
      <c r="C22" s="58" t="s">
        <v>11</v>
      </c>
      <c r="D22" s="59">
        <v>0.32190000000000002</v>
      </c>
      <c r="E22" s="62">
        <v>0</v>
      </c>
    </row>
    <row r="23" spans="1:5" x14ac:dyDescent="0.35">
      <c r="A23" s="58" t="str">
        <f t="shared" si="0"/>
        <v>Faculty SummerFY33-34</v>
      </c>
      <c r="B23" s="58" t="s">
        <v>254</v>
      </c>
      <c r="C23" s="58" t="s">
        <v>11</v>
      </c>
      <c r="D23" s="59">
        <v>0.32190000000000002</v>
      </c>
      <c r="E23" s="62">
        <v>0</v>
      </c>
    </row>
    <row r="24" spans="1:5" x14ac:dyDescent="0.35">
      <c r="A24" s="58" t="str">
        <f t="shared" si="0"/>
        <v>Faculty SummerFY34-35</v>
      </c>
      <c r="B24" s="58" t="s">
        <v>255</v>
      </c>
      <c r="C24" s="58" t="s">
        <v>11</v>
      </c>
      <c r="D24" s="59">
        <v>0.32190000000000002</v>
      </c>
      <c r="E24" s="62">
        <v>0</v>
      </c>
    </row>
    <row r="25" spans="1:5" x14ac:dyDescent="0.35">
      <c r="A25" s="58" t="str">
        <f t="shared" si="0"/>
        <v>Faculty SummerFY35-36</v>
      </c>
      <c r="B25" s="58" t="s">
        <v>256</v>
      </c>
      <c r="C25" s="58" t="s">
        <v>11</v>
      </c>
      <c r="D25" s="59">
        <v>0.32190000000000002</v>
      </c>
      <c r="E25" s="62">
        <v>0</v>
      </c>
    </row>
    <row r="26" spans="1:5" x14ac:dyDescent="0.35">
      <c r="A26" s="58" t="str">
        <f t="shared" si="0"/>
        <v>Faculty SummerFY36-37</v>
      </c>
      <c r="B26" s="58" t="s">
        <v>257</v>
      </c>
      <c r="C26" s="58" t="s">
        <v>11</v>
      </c>
      <c r="D26" s="59">
        <v>0.32190000000000002</v>
      </c>
      <c r="E26" s="62">
        <v>0</v>
      </c>
    </row>
    <row r="27" spans="1:5" x14ac:dyDescent="0.35">
      <c r="A27" s="58" t="str">
        <f t="shared" si="0"/>
        <v>Faculty SummerFY37-38</v>
      </c>
      <c r="B27" s="58" t="s">
        <v>258</v>
      </c>
      <c r="C27" s="58" t="s">
        <v>11</v>
      </c>
      <c r="D27" s="59">
        <v>0.32190000000000002</v>
      </c>
      <c r="E27" s="62">
        <v>0</v>
      </c>
    </row>
    <row r="28" spans="1:5" x14ac:dyDescent="0.35">
      <c r="A28" s="58" t="str">
        <f t="shared" si="0"/>
        <v>Faculty SummerFY38-39</v>
      </c>
      <c r="B28" s="58" t="s">
        <v>259</v>
      </c>
      <c r="C28" s="58" t="s">
        <v>11</v>
      </c>
      <c r="D28" s="59">
        <v>0.32190000000000002</v>
      </c>
      <c r="E28" s="62">
        <v>0</v>
      </c>
    </row>
    <row r="29" spans="1:5" x14ac:dyDescent="0.35">
      <c r="A29" s="58" t="str">
        <f t="shared" si="0"/>
        <v>Faculty SummerFY39-40</v>
      </c>
      <c r="B29" s="58" t="s">
        <v>260</v>
      </c>
      <c r="C29" s="58" t="s">
        <v>11</v>
      </c>
      <c r="D29" s="59">
        <v>0.32190000000000002</v>
      </c>
      <c r="E29" s="62">
        <v>0</v>
      </c>
    </row>
    <row r="31" spans="1:5" x14ac:dyDescent="0.35">
      <c r="A31" s="258" t="str">
        <f t="shared" si="0"/>
        <v>Faculty AcademicFY23-24</v>
      </c>
      <c r="B31" s="258" t="s">
        <v>158</v>
      </c>
      <c r="C31" s="258" t="s">
        <v>12</v>
      </c>
      <c r="D31" s="259">
        <v>0.32190000000000002</v>
      </c>
      <c r="E31" s="260">
        <v>7557</v>
      </c>
    </row>
    <row r="32" spans="1:5" x14ac:dyDescent="0.35">
      <c r="A32" s="258" t="str">
        <f t="shared" si="0"/>
        <v>Faculty AcademicFY24-25</v>
      </c>
      <c r="B32" s="258" t="s">
        <v>159</v>
      </c>
      <c r="C32" s="258" t="s">
        <v>12</v>
      </c>
      <c r="D32" s="259">
        <v>0.32190000000000002</v>
      </c>
      <c r="E32" s="260">
        <v>8095</v>
      </c>
    </row>
    <row r="33" spans="1:5" x14ac:dyDescent="0.35">
      <c r="A33" s="58" t="str">
        <f t="shared" si="0"/>
        <v>Faculty AcademicFY25-26</v>
      </c>
      <c r="B33" s="58" t="s">
        <v>160</v>
      </c>
      <c r="C33" s="58" t="s">
        <v>12</v>
      </c>
      <c r="D33" s="59">
        <v>0.32190000000000002</v>
      </c>
      <c r="E33" s="62">
        <f>ROUND(E32*'COS Internal Budget'!$D$20, 0)</f>
        <v>8500</v>
      </c>
    </row>
    <row r="34" spans="1:5" x14ac:dyDescent="0.35">
      <c r="A34" s="58" t="str">
        <f t="shared" si="0"/>
        <v>Faculty AcademicFY26-27</v>
      </c>
      <c r="B34" s="58" t="s">
        <v>161</v>
      </c>
      <c r="C34" s="58" t="s">
        <v>12</v>
      </c>
      <c r="D34" s="59">
        <v>0.32190000000000002</v>
      </c>
      <c r="E34" s="62">
        <f>ROUND(E33*'COS Internal Budget'!$D$20, 0)</f>
        <v>8925</v>
      </c>
    </row>
    <row r="35" spans="1:5" x14ac:dyDescent="0.35">
      <c r="A35" s="58" t="str">
        <f t="shared" si="0"/>
        <v>Faculty AcademicFY27-28</v>
      </c>
      <c r="B35" s="58" t="s">
        <v>162</v>
      </c>
      <c r="C35" s="58" t="s">
        <v>12</v>
      </c>
      <c r="D35" s="59">
        <v>0.32190000000000002</v>
      </c>
      <c r="E35" s="62">
        <f>ROUND(E34*'COS Internal Budget'!$D$20, 0)</f>
        <v>9371</v>
      </c>
    </row>
    <row r="36" spans="1:5" x14ac:dyDescent="0.35">
      <c r="A36" s="58" t="str">
        <f t="shared" si="0"/>
        <v>Faculty AcademicFY28-29</v>
      </c>
      <c r="B36" s="58" t="s">
        <v>178</v>
      </c>
      <c r="C36" s="58" t="s">
        <v>12</v>
      </c>
      <c r="D36" s="59">
        <v>0.32190000000000002</v>
      </c>
      <c r="E36" s="62">
        <f>ROUND(E35*'COS Internal Budget'!$D$20, 0)</f>
        <v>9840</v>
      </c>
    </row>
    <row r="37" spans="1:5" x14ac:dyDescent="0.35">
      <c r="A37" s="58" t="str">
        <f t="shared" si="0"/>
        <v>Faculty AcademicFY29-30</v>
      </c>
      <c r="B37" s="58" t="s">
        <v>186</v>
      </c>
      <c r="C37" s="58" t="s">
        <v>12</v>
      </c>
      <c r="D37" s="59">
        <v>0.32190000000000002</v>
      </c>
      <c r="E37" s="62">
        <f>ROUND(E36*'COS Internal Budget'!$D$20, 0)</f>
        <v>10332</v>
      </c>
    </row>
    <row r="38" spans="1:5" x14ac:dyDescent="0.35">
      <c r="A38" s="58" t="str">
        <f t="shared" si="0"/>
        <v>Faculty AcademicFY30-31</v>
      </c>
      <c r="B38" s="58" t="s">
        <v>187</v>
      </c>
      <c r="C38" s="58" t="s">
        <v>12</v>
      </c>
      <c r="D38" s="59">
        <v>0.32190000000000002</v>
      </c>
      <c r="E38" s="62">
        <f>ROUND(E37*'COS Internal Budget'!$D$20, 0)</f>
        <v>10849</v>
      </c>
    </row>
    <row r="39" spans="1:5" x14ac:dyDescent="0.35">
      <c r="A39" s="58" t="str">
        <f t="shared" si="0"/>
        <v>Faculty AcademicFY31-32</v>
      </c>
      <c r="B39" s="58" t="s">
        <v>188</v>
      </c>
      <c r="C39" s="58" t="s">
        <v>12</v>
      </c>
      <c r="D39" s="59">
        <v>0.32190000000000002</v>
      </c>
      <c r="E39" s="62">
        <f>ROUND(E38*'COS Internal Budget'!$D$20, 0)</f>
        <v>11391</v>
      </c>
    </row>
    <row r="40" spans="1:5" x14ac:dyDescent="0.35">
      <c r="A40" s="58" t="str">
        <f t="shared" si="0"/>
        <v>Faculty AcademicFY32-33</v>
      </c>
      <c r="B40" s="58" t="s">
        <v>189</v>
      </c>
      <c r="C40" s="58" t="s">
        <v>12</v>
      </c>
      <c r="D40" s="59">
        <v>0.32190000000000002</v>
      </c>
      <c r="E40" s="62">
        <f>ROUND(E39*'COS Internal Budget'!$D$20, 0)</f>
        <v>11961</v>
      </c>
    </row>
    <row r="41" spans="1:5" x14ac:dyDescent="0.35">
      <c r="A41" s="58" t="str">
        <f t="shared" si="0"/>
        <v>Faculty AcademicFY33-34</v>
      </c>
      <c r="B41" s="58" t="s">
        <v>254</v>
      </c>
      <c r="C41" s="58" t="s">
        <v>12</v>
      </c>
      <c r="D41" s="59">
        <v>0.32190000000000002</v>
      </c>
      <c r="E41" s="62">
        <f>ROUND(E40*'COS Internal Budget'!$D$20, 0)</f>
        <v>12559</v>
      </c>
    </row>
    <row r="42" spans="1:5" x14ac:dyDescent="0.35">
      <c r="A42" s="58" t="str">
        <f t="shared" si="0"/>
        <v>Faculty AcademicFY34-35</v>
      </c>
      <c r="B42" s="58" t="s">
        <v>255</v>
      </c>
      <c r="C42" s="58" t="s">
        <v>12</v>
      </c>
      <c r="D42" s="59">
        <v>0.32190000000000002</v>
      </c>
      <c r="E42" s="62">
        <f>ROUND(E41*'COS Internal Budget'!$D$20, 0)</f>
        <v>13187</v>
      </c>
    </row>
    <row r="43" spans="1:5" x14ac:dyDescent="0.35">
      <c r="A43" s="58" t="str">
        <f t="shared" si="0"/>
        <v>Faculty AcademicFY35-36</v>
      </c>
      <c r="B43" s="58" t="s">
        <v>256</v>
      </c>
      <c r="C43" s="58" t="s">
        <v>12</v>
      </c>
      <c r="D43" s="59">
        <v>0.32190000000000002</v>
      </c>
      <c r="E43" s="62">
        <f>ROUND(E42*'COS Internal Budget'!$D$20, 0)</f>
        <v>13846</v>
      </c>
    </row>
    <row r="44" spans="1:5" x14ac:dyDescent="0.35">
      <c r="A44" s="58" t="str">
        <f t="shared" si="0"/>
        <v>Faculty AcademicFY36-37</v>
      </c>
      <c r="B44" s="58" t="s">
        <v>257</v>
      </c>
      <c r="C44" s="58" t="s">
        <v>12</v>
      </c>
      <c r="D44" s="59">
        <v>0.32190000000000002</v>
      </c>
      <c r="E44" s="62">
        <f>ROUND(E43*'COS Internal Budget'!$D$20, 0)</f>
        <v>14538</v>
      </c>
    </row>
    <row r="45" spans="1:5" x14ac:dyDescent="0.35">
      <c r="A45" s="58" t="str">
        <f t="shared" si="0"/>
        <v>Faculty AcademicFY37-38</v>
      </c>
      <c r="B45" s="58" t="s">
        <v>258</v>
      </c>
      <c r="C45" s="58" t="s">
        <v>12</v>
      </c>
      <c r="D45" s="59">
        <v>0.32190000000000002</v>
      </c>
      <c r="E45" s="62">
        <f>ROUND(E44*'COS Internal Budget'!$D$20, 0)</f>
        <v>15265</v>
      </c>
    </row>
    <row r="46" spans="1:5" x14ac:dyDescent="0.35">
      <c r="A46" s="58" t="str">
        <f t="shared" si="0"/>
        <v>Faculty AcademicFY38-39</v>
      </c>
      <c r="B46" s="58" t="s">
        <v>259</v>
      </c>
      <c r="C46" s="58" t="s">
        <v>12</v>
      </c>
      <c r="D46" s="59">
        <v>0.32190000000000002</v>
      </c>
      <c r="E46" s="62">
        <f>ROUND(E45*'COS Internal Budget'!$D$20, 0)</f>
        <v>16028</v>
      </c>
    </row>
    <row r="47" spans="1:5" x14ac:dyDescent="0.35">
      <c r="A47" s="58" t="str">
        <f t="shared" si="0"/>
        <v>Faculty AcademicFY39-40</v>
      </c>
      <c r="B47" s="58" t="s">
        <v>260</v>
      </c>
      <c r="C47" s="58" t="s">
        <v>12</v>
      </c>
      <c r="D47" s="59">
        <v>0.32190000000000002</v>
      </c>
      <c r="E47" s="62">
        <f>ROUND(E46*'COS Internal Budget'!$D$20, 0)</f>
        <v>16829</v>
      </c>
    </row>
    <row r="49" spans="1:5" x14ac:dyDescent="0.35">
      <c r="A49" s="258" t="str">
        <f t="shared" ref="A49:A65" si="1">_xlfn.CONCAT(C49,B49)</f>
        <v>Faculty CalendarFY23-24</v>
      </c>
      <c r="B49" s="258" t="s">
        <v>158</v>
      </c>
      <c r="C49" s="258" t="s">
        <v>13</v>
      </c>
      <c r="D49" s="259">
        <v>0.32190000000000002</v>
      </c>
      <c r="E49" s="260">
        <v>7557</v>
      </c>
    </row>
    <row r="50" spans="1:5" x14ac:dyDescent="0.35">
      <c r="A50" s="258" t="str">
        <f t="shared" si="1"/>
        <v>Faculty CalendarFY24-25</v>
      </c>
      <c r="B50" s="258" t="s">
        <v>159</v>
      </c>
      <c r="C50" s="258" t="s">
        <v>13</v>
      </c>
      <c r="D50" s="259">
        <v>0.32190000000000002</v>
      </c>
      <c r="E50" s="260">
        <v>8095</v>
      </c>
    </row>
    <row r="51" spans="1:5" x14ac:dyDescent="0.35">
      <c r="A51" s="58" t="str">
        <f t="shared" si="1"/>
        <v>Faculty CalendarFY25-26</v>
      </c>
      <c r="B51" s="58" t="s">
        <v>160</v>
      </c>
      <c r="C51" s="58" t="s">
        <v>13</v>
      </c>
      <c r="D51" s="59">
        <v>0.32190000000000002</v>
      </c>
      <c r="E51" s="62">
        <f>ROUND(E50*'COS Internal Budget'!$D$20, 0)</f>
        <v>8500</v>
      </c>
    </row>
    <row r="52" spans="1:5" x14ac:dyDescent="0.35">
      <c r="A52" s="58" t="str">
        <f t="shared" si="1"/>
        <v>Faculty CalendarFY26-27</v>
      </c>
      <c r="B52" s="58" t="s">
        <v>161</v>
      </c>
      <c r="C52" s="58" t="s">
        <v>13</v>
      </c>
      <c r="D52" s="59">
        <v>0.32190000000000002</v>
      </c>
      <c r="E52" s="62">
        <f>ROUND(E51*'COS Internal Budget'!$D$20, 0)</f>
        <v>8925</v>
      </c>
    </row>
    <row r="53" spans="1:5" x14ac:dyDescent="0.35">
      <c r="A53" s="58" t="str">
        <f t="shared" si="1"/>
        <v>Faculty CalendarFY27-28</v>
      </c>
      <c r="B53" s="58" t="s">
        <v>162</v>
      </c>
      <c r="C53" s="58" t="s">
        <v>13</v>
      </c>
      <c r="D53" s="59">
        <v>0.32190000000000002</v>
      </c>
      <c r="E53" s="62">
        <f>ROUND(E52*'COS Internal Budget'!$D$20, 0)</f>
        <v>9371</v>
      </c>
    </row>
    <row r="54" spans="1:5" x14ac:dyDescent="0.35">
      <c r="A54" s="58" t="str">
        <f t="shared" si="1"/>
        <v>Faculty CalendarFY28-29</v>
      </c>
      <c r="B54" s="58" t="s">
        <v>178</v>
      </c>
      <c r="C54" s="58" t="s">
        <v>13</v>
      </c>
      <c r="D54" s="59">
        <v>0.32190000000000002</v>
      </c>
      <c r="E54" s="62">
        <f>ROUND(E53*'COS Internal Budget'!$D$20, 0)</f>
        <v>9840</v>
      </c>
    </row>
    <row r="55" spans="1:5" x14ac:dyDescent="0.35">
      <c r="A55" s="58" t="str">
        <f t="shared" si="1"/>
        <v>Faculty CalendarFY29-30</v>
      </c>
      <c r="B55" s="58" t="s">
        <v>186</v>
      </c>
      <c r="C55" s="58" t="s">
        <v>13</v>
      </c>
      <c r="D55" s="59">
        <v>0.32190000000000002</v>
      </c>
      <c r="E55" s="62">
        <f>ROUND(E54*'COS Internal Budget'!$D$20, 0)</f>
        <v>10332</v>
      </c>
    </row>
    <row r="56" spans="1:5" x14ac:dyDescent="0.35">
      <c r="A56" s="58" t="str">
        <f t="shared" si="1"/>
        <v>Faculty CalendarFY30-31</v>
      </c>
      <c r="B56" s="58" t="s">
        <v>187</v>
      </c>
      <c r="C56" s="58" t="s">
        <v>13</v>
      </c>
      <c r="D56" s="59">
        <v>0.32190000000000002</v>
      </c>
      <c r="E56" s="62">
        <f>ROUND(E55*'COS Internal Budget'!$D$20, 0)</f>
        <v>10849</v>
      </c>
    </row>
    <row r="57" spans="1:5" x14ac:dyDescent="0.35">
      <c r="A57" s="58" t="str">
        <f t="shared" si="1"/>
        <v>Faculty CalendarFY31-32</v>
      </c>
      <c r="B57" s="58" t="s">
        <v>188</v>
      </c>
      <c r="C57" s="58" t="s">
        <v>13</v>
      </c>
      <c r="D57" s="59">
        <v>0.32190000000000002</v>
      </c>
      <c r="E57" s="62">
        <f>ROUND(E56*'COS Internal Budget'!$D$20, 0)</f>
        <v>11391</v>
      </c>
    </row>
    <row r="58" spans="1:5" x14ac:dyDescent="0.35">
      <c r="A58" s="58" t="str">
        <f t="shared" si="1"/>
        <v>Faculty CalendarFY32-33</v>
      </c>
      <c r="B58" s="58" t="s">
        <v>189</v>
      </c>
      <c r="C58" s="58" t="s">
        <v>13</v>
      </c>
      <c r="D58" s="59">
        <v>0.32190000000000002</v>
      </c>
      <c r="E58" s="62">
        <f>ROUND(E57*'COS Internal Budget'!$D$20, 0)</f>
        <v>11961</v>
      </c>
    </row>
    <row r="59" spans="1:5" x14ac:dyDescent="0.35">
      <c r="A59" s="58" t="str">
        <f t="shared" si="1"/>
        <v>Faculty CalendarFY33-34</v>
      </c>
      <c r="B59" s="58" t="s">
        <v>254</v>
      </c>
      <c r="C59" s="58" t="s">
        <v>13</v>
      </c>
      <c r="D59" s="59">
        <v>0.32190000000000002</v>
      </c>
      <c r="E59" s="62">
        <f>ROUND(E58*'COS Internal Budget'!$D$20, 0)</f>
        <v>12559</v>
      </c>
    </row>
    <row r="60" spans="1:5" x14ac:dyDescent="0.35">
      <c r="A60" s="58" t="str">
        <f t="shared" si="1"/>
        <v>Faculty CalendarFY34-35</v>
      </c>
      <c r="B60" s="58" t="s">
        <v>255</v>
      </c>
      <c r="C60" s="58" t="s">
        <v>13</v>
      </c>
      <c r="D60" s="59">
        <v>0.32190000000000002</v>
      </c>
      <c r="E60" s="62">
        <f>ROUND(E59*'COS Internal Budget'!$D$20, 0)</f>
        <v>13187</v>
      </c>
    </row>
    <row r="61" spans="1:5" x14ac:dyDescent="0.35">
      <c r="A61" s="58" t="str">
        <f t="shared" si="1"/>
        <v>Faculty CalendarFY35-36</v>
      </c>
      <c r="B61" s="58" t="s">
        <v>256</v>
      </c>
      <c r="C61" s="58" t="s">
        <v>13</v>
      </c>
      <c r="D61" s="59">
        <v>0.32190000000000002</v>
      </c>
      <c r="E61" s="62">
        <f>ROUND(E60*'COS Internal Budget'!$D$20, 0)</f>
        <v>13846</v>
      </c>
    </row>
    <row r="62" spans="1:5" x14ac:dyDescent="0.35">
      <c r="A62" s="58" t="str">
        <f t="shared" si="1"/>
        <v>Faculty CalendarFY36-37</v>
      </c>
      <c r="B62" s="58" t="s">
        <v>257</v>
      </c>
      <c r="C62" s="58" t="s">
        <v>13</v>
      </c>
      <c r="D62" s="59">
        <v>0.32190000000000002</v>
      </c>
      <c r="E62" s="62">
        <f>ROUND(E61*'COS Internal Budget'!$D$20, 0)</f>
        <v>14538</v>
      </c>
    </row>
    <row r="63" spans="1:5" x14ac:dyDescent="0.35">
      <c r="A63" s="58" t="str">
        <f t="shared" si="1"/>
        <v>Faculty CalendarFY37-38</v>
      </c>
      <c r="B63" s="58" t="s">
        <v>258</v>
      </c>
      <c r="C63" s="58" t="s">
        <v>13</v>
      </c>
      <c r="D63" s="59">
        <v>0.32190000000000002</v>
      </c>
      <c r="E63" s="62">
        <f>ROUND(E62*'COS Internal Budget'!$D$20, 0)</f>
        <v>15265</v>
      </c>
    </row>
    <row r="64" spans="1:5" x14ac:dyDescent="0.35">
      <c r="A64" s="58" t="str">
        <f t="shared" si="1"/>
        <v>Faculty CalendarFY38-39</v>
      </c>
      <c r="B64" s="58" t="s">
        <v>259</v>
      </c>
      <c r="C64" s="58" t="s">
        <v>13</v>
      </c>
      <c r="D64" s="59">
        <v>0.32190000000000002</v>
      </c>
      <c r="E64" s="62">
        <f>ROUND(E63*'COS Internal Budget'!$D$20, 0)</f>
        <v>16028</v>
      </c>
    </row>
    <row r="65" spans="1:5" x14ac:dyDescent="0.35">
      <c r="A65" s="58" t="str">
        <f t="shared" si="1"/>
        <v>Faculty CalendarFY39-40</v>
      </c>
      <c r="B65" s="58" t="s">
        <v>260</v>
      </c>
      <c r="C65" s="58" t="s">
        <v>13</v>
      </c>
      <c r="D65" s="59">
        <v>0.32190000000000002</v>
      </c>
      <c r="E65" s="62">
        <f>ROUND(E64*'COS Internal Budget'!$D$20, 0)</f>
        <v>16829</v>
      </c>
    </row>
    <row r="67" spans="1:5" x14ac:dyDescent="0.35">
      <c r="A67" s="258" t="str">
        <f t="shared" ref="A67:A83" si="2">_xlfn.CONCAT(C67,B67)</f>
        <v>StaffFY23-24</v>
      </c>
      <c r="B67" s="258" t="s">
        <v>158</v>
      </c>
      <c r="C67" s="258" t="s">
        <v>14</v>
      </c>
      <c r="D67" s="259">
        <v>0.32190000000000002</v>
      </c>
      <c r="E67" s="260">
        <v>7557</v>
      </c>
    </row>
    <row r="68" spans="1:5" x14ac:dyDescent="0.35">
      <c r="A68" s="258" t="str">
        <f t="shared" si="2"/>
        <v>StaffFY24-25</v>
      </c>
      <c r="B68" s="258" t="s">
        <v>159</v>
      </c>
      <c r="C68" s="258" t="s">
        <v>14</v>
      </c>
      <c r="D68" s="259">
        <v>0.32190000000000002</v>
      </c>
      <c r="E68" s="260">
        <v>8095</v>
      </c>
    </row>
    <row r="69" spans="1:5" x14ac:dyDescent="0.35">
      <c r="A69" s="58" t="str">
        <f t="shared" si="2"/>
        <v>StaffFY25-26</v>
      </c>
      <c r="B69" s="58" t="s">
        <v>160</v>
      </c>
      <c r="C69" s="58" t="s">
        <v>14</v>
      </c>
      <c r="D69" s="59">
        <v>0.32190000000000002</v>
      </c>
      <c r="E69" s="62">
        <f>ROUND(E68*'COS Internal Budget'!$D$20, 0)</f>
        <v>8500</v>
      </c>
    </row>
    <row r="70" spans="1:5" x14ac:dyDescent="0.35">
      <c r="A70" s="58" t="str">
        <f t="shared" si="2"/>
        <v>StaffFY26-27</v>
      </c>
      <c r="B70" s="58" t="s">
        <v>161</v>
      </c>
      <c r="C70" s="58" t="s">
        <v>14</v>
      </c>
      <c r="D70" s="59">
        <v>0.32190000000000002</v>
      </c>
      <c r="E70" s="62">
        <f>ROUND(E69*'COS Internal Budget'!$D$20, 0)</f>
        <v>8925</v>
      </c>
    </row>
    <row r="71" spans="1:5" x14ac:dyDescent="0.35">
      <c r="A71" s="58" t="str">
        <f t="shared" si="2"/>
        <v>StaffFY27-28</v>
      </c>
      <c r="B71" s="58" t="s">
        <v>162</v>
      </c>
      <c r="C71" s="58" t="s">
        <v>14</v>
      </c>
      <c r="D71" s="59">
        <v>0.32190000000000002</v>
      </c>
      <c r="E71" s="62">
        <f>ROUND(E70*'COS Internal Budget'!$D$20, 0)</f>
        <v>9371</v>
      </c>
    </row>
    <row r="72" spans="1:5" x14ac:dyDescent="0.35">
      <c r="A72" s="58" t="str">
        <f t="shared" si="2"/>
        <v>StaffFY28-29</v>
      </c>
      <c r="B72" s="58" t="s">
        <v>178</v>
      </c>
      <c r="C72" s="58" t="s">
        <v>14</v>
      </c>
      <c r="D72" s="59">
        <v>0.32190000000000002</v>
      </c>
      <c r="E72" s="62">
        <f>ROUND(E71*'COS Internal Budget'!$D$20, 0)</f>
        <v>9840</v>
      </c>
    </row>
    <row r="73" spans="1:5" x14ac:dyDescent="0.35">
      <c r="A73" s="58" t="str">
        <f t="shared" si="2"/>
        <v>StaffFY29-30</v>
      </c>
      <c r="B73" s="58" t="s">
        <v>186</v>
      </c>
      <c r="C73" s="58" t="s">
        <v>14</v>
      </c>
      <c r="D73" s="59">
        <v>0.32190000000000002</v>
      </c>
      <c r="E73" s="62">
        <f>ROUND(E72*'COS Internal Budget'!$D$20, 0)</f>
        <v>10332</v>
      </c>
    </row>
    <row r="74" spans="1:5" x14ac:dyDescent="0.35">
      <c r="A74" s="58" t="str">
        <f t="shared" si="2"/>
        <v>StaffFY30-31</v>
      </c>
      <c r="B74" s="58" t="s">
        <v>187</v>
      </c>
      <c r="C74" s="58" t="s">
        <v>14</v>
      </c>
      <c r="D74" s="59">
        <v>0.32190000000000002</v>
      </c>
      <c r="E74" s="62">
        <f>ROUND(E73*'COS Internal Budget'!$D$20, 0)</f>
        <v>10849</v>
      </c>
    </row>
    <row r="75" spans="1:5" x14ac:dyDescent="0.35">
      <c r="A75" s="58" t="str">
        <f t="shared" si="2"/>
        <v>StaffFY31-32</v>
      </c>
      <c r="B75" s="58" t="s">
        <v>188</v>
      </c>
      <c r="C75" s="58" t="s">
        <v>14</v>
      </c>
      <c r="D75" s="59">
        <v>0.32190000000000002</v>
      </c>
      <c r="E75" s="62">
        <f>ROUND(E74*'COS Internal Budget'!$D$20, 0)</f>
        <v>11391</v>
      </c>
    </row>
    <row r="76" spans="1:5" x14ac:dyDescent="0.35">
      <c r="A76" s="58" t="str">
        <f t="shared" si="2"/>
        <v>StaffFY32-33</v>
      </c>
      <c r="B76" s="58" t="s">
        <v>189</v>
      </c>
      <c r="C76" s="58" t="s">
        <v>14</v>
      </c>
      <c r="D76" s="59">
        <v>0.32190000000000002</v>
      </c>
      <c r="E76" s="62">
        <f>ROUND(E75*'COS Internal Budget'!$D$20, 0)</f>
        <v>11961</v>
      </c>
    </row>
    <row r="77" spans="1:5" x14ac:dyDescent="0.35">
      <c r="A77" s="58" t="str">
        <f t="shared" si="2"/>
        <v>StaffFY33-34</v>
      </c>
      <c r="B77" s="58" t="s">
        <v>254</v>
      </c>
      <c r="C77" s="58" t="s">
        <v>14</v>
      </c>
      <c r="D77" s="59">
        <v>0.32190000000000002</v>
      </c>
      <c r="E77" s="62">
        <f>ROUND(E76*'COS Internal Budget'!$D$20, 0)</f>
        <v>12559</v>
      </c>
    </row>
    <row r="78" spans="1:5" x14ac:dyDescent="0.35">
      <c r="A78" s="58" t="str">
        <f t="shared" si="2"/>
        <v>StaffFY34-35</v>
      </c>
      <c r="B78" s="58" t="s">
        <v>255</v>
      </c>
      <c r="C78" s="58" t="s">
        <v>14</v>
      </c>
      <c r="D78" s="59">
        <v>0.32190000000000002</v>
      </c>
      <c r="E78" s="62">
        <f>ROUND(E77*'COS Internal Budget'!$D$20, 0)</f>
        <v>13187</v>
      </c>
    </row>
    <row r="79" spans="1:5" x14ac:dyDescent="0.35">
      <c r="A79" s="58" t="str">
        <f t="shared" si="2"/>
        <v>StaffFY35-36</v>
      </c>
      <c r="B79" s="58" t="s">
        <v>256</v>
      </c>
      <c r="C79" s="58" t="s">
        <v>14</v>
      </c>
      <c r="D79" s="59">
        <v>0.32190000000000002</v>
      </c>
      <c r="E79" s="62">
        <f>ROUND(E78*'COS Internal Budget'!$D$20, 0)</f>
        <v>13846</v>
      </c>
    </row>
    <row r="80" spans="1:5" x14ac:dyDescent="0.35">
      <c r="A80" s="58" t="str">
        <f t="shared" si="2"/>
        <v>StaffFY36-37</v>
      </c>
      <c r="B80" s="58" t="s">
        <v>257</v>
      </c>
      <c r="C80" s="58" t="s">
        <v>14</v>
      </c>
      <c r="D80" s="59">
        <v>0.32190000000000002</v>
      </c>
      <c r="E80" s="62">
        <f>ROUND(E79*'COS Internal Budget'!$D$20, 0)</f>
        <v>14538</v>
      </c>
    </row>
    <row r="81" spans="1:5" x14ac:dyDescent="0.35">
      <c r="A81" s="58" t="str">
        <f t="shared" si="2"/>
        <v>StaffFY37-38</v>
      </c>
      <c r="B81" s="58" t="s">
        <v>258</v>
      </c>
      <c r="C81" s="58" t="s">
        <v>14</v>
      </c>
      <c r="D81" s="59">
        <v>0.32190000000000002</v>
      </c>
      <c r="E81" s="62">
        <f>ROUND(E80*'COS Internal Budget'!$D$20, 0)</f>
        <v>15265</v>
      </c>
    </row>
    <row r="82" spans="1:5" x14ac:dyDescent="0.35">
      <c r="A82" s="58" t="str">
        <f t="shared" si="2"/>
        <v>StaffFY38-39</v>
      </c>
      <c r="B82" s="58" t="s">
        <v>259</v>
      </c>
      <c r="C82" s="58" t="s">
        <v>14</v>
      </c>
      <c r="D82" s="59">
        <v>0.32190000000000002</v>
      </c>
      <c r="E82" s="62">
        <f>ROUND(E81*'COS Internal Budget'!$D$20, 0)</f>
        <v>16028</v>
      </c>
    </row>
    <row r="83" spans="1:5" x14ac:dyDescent="0.35">
      <c r="A83" s="58" t="str">
        <f t="shared" si="2"/>
        <v>StaffFY39-40</v>
      </c>
      <c r="B83" s="58" t="s">
        <v>260</v>
      </c>
      <c r="C83" s="58" t="s">
        <v>14</v>
      </c>
      <c r="D83" s="59">
        <v>0.32190000000000002</v>
      </c>
      <c r="E83" s="62">
        <f>ROUND(E82*'COS Internal Budget'!$D$20, 0)</f>
        <v>16829</v>
      </c>
    </row>
    <row r="85" spans="1:5" x14ac:dyDescent="0.35">
      <c r="A85" s="258" t="str">
        <f t="shared" ref="A85:A101" si="3">_xlfn.CONCAT(C85,B85)</f>
        <v>PostDocFY23-24</v>
      </c>
      <c r="B85" s="258" t="s">
        <v>158</v>
      </c>
      <c r="C85" s="258" t="s">
        <v>263</v>
      </c>
      <c r="D85" s="259">
        <v>8.1500000000000003E-2</v>
      </c>
      <c r="E85" s="260">
        <v>5594</v>
      </c>
    </row>
    <row r="86" spans="1:5" x14ac:dyDescent="0.35">
      <c r="A86" s="258" t="str">
        <f t="shared" si="3"/>
        <v>PostDocFY24-25</v>
      </c>
      <c r="B86" s="258" t="s">
        <v>159</v>
      </c>
      <c r="C86" s="258" t="s">
        <v>263</v>
      </c>
      <c r="D86" s="259">
        <v>8.1500000000000003E-2</v>
      </c>
      <c r="E86" s="260">
        <v>5590</v>
      </c>
    </row>
    <row r="87" spans="1:5" x14ac:dyDescent="0.35">
      <c r="A87" s="58" t="str">
        <f t="shared" si="3"/>
        <v>PostDocFY25-26</v>
      </c>
      <c r="B87" s="58" t="s">
        <v>160</v>
      </c>
      <c r="C87" s="58" t="s">
        <v>263</v>
      </c>
      <c r="D87" s="59">
        <v>8.1500000000000003E-2</v>
      </c>
      <c r="E87" s="62">
        <f>ROUND(E86*'COS Internal Budget'!$D$20, 0)</f>
        <v>5870</v>
      </c>
    </row>
    <row r="88" spans="1:5" x14ac:dyDescent="0.35">
      <c r="A88" s="58" t="str">
        <f t="shared" si="3"/>
        <v>PostDocFY26-27</v>
      </c>
      <c r="B88" s="58" t="s">
        <v>161</v>
      </c>
      <c r="C88" s="58" t="s">
        <v>263</v>
      </c>
      <c r="D88" s="59">
        <v>8.1500000000000003E-2</v>
      </c>
      <c r="E88" s="62">
        <f>ROUND(E87*'COS Internal Budget'!$D$20, 0)</f>
        <v>6164</v>
      </c>
    </row>
    <row r="89" spans="1:5" x14ac:dyDescent="0.35">
      <c r="A89" s="58" t="str">
        <f t="shared" si="3"/>
        <v>PostDocFY27-28</v>
      </c>
      <c r="B89" s="58" t="s">
        <v>162</v>
      </c>
      <c r="C89" s="58" t="s">
        <v>263</v>
      </c>
      <c r="D89" s="59">
        <v>8.1500000000000003E-2</v>
      </c>
      <c r="E89" s="62">
        <f>ROUND(E88*'COS Internal Budget'!$D$20, 0)</f>
        <v>6472</v>
      </c>
    </row>
    <row r="90" spans="1:5" x14ac:dyDescent="0.35">
      <c r="A90" s="58" t="str">
        <f t="shared" si="3"/>
        <v>PostDocFY28-29</v>
      </c>
      <c r="B90" s="58" t="s">
        <v>178</v>
      </c>
      <c r="C90" s="58" t="s">
        <v>263</v>
      </c>
      <c r="D90" s="59">
        <v>8.1500000000000003E-2</v>
      </c>
      <c r="E90" s="62">
        <f>ROUND(E89*'COS Internal Budget'!$D$20, 0)</f>
        <v>6796</v>
      </c>
    </row>
    <row r="91" spans="1:5" x14ac:dyDescent="0.35">
      <c r="A91" s="58" t="str">
        <f t="shared" si="3"/>
        <v>PostDocFY29-30</v>
      </c>
      <c r="B91" s="58" t="s">
        <v>186</v>
      </c>
      <c r="C91" s="58" t="s">
        <v>263</v>
      </c>
      <c r="D91" s="59">
        <v>8.1500000000000003E-2</v>
      </c>
      <c r="E91" s="62">
        <f>ROUND(E90*'COS Internal Budget'!$D$20, 0)</f>
        <v>7136</v>
      </c>
    </row>
    <row r="92" spans="1:5" x14ac:dyDescent="0.35">
      <c r="A92" s="58" t="str">
        <f t="shared" si="3"/>
        <v>PostDocFY30-31</v>
      </c>
      <c r="B92" s="58" t="s">
        <v>187</v>
      </c>
      <c r="C92" s="58" t="s">
        <v>263</v>
      </c>
      <c r="D92" s="59">
        <v>8.1500000000000003E-2</v>
      </c>
      <c r="E92" s="62">
        <f>ROUND(E91*'COS Internal Budget'!$D$20, 0)</f>
        <v>7493</v>
      </c>
    </row>
    <row r="93" spans="1:5" x14ac:dyDescent="0.35">
      <c r="A93" s="58" t="str">
        <f t="shared" si="3"/>
        <v>PostDocFY31-32</v>
      </c>
      <c r="B93" s="58" t="s">
        <v>188</v>
      </c>
      <c r="C93" s="58" t="s">
        <v>263</v>
      </c>
      <c r="D93" s="59">
        <v>8.1500000000000003E-2</v>
      </c>
      <c r="E93" s="62">
        <f>ROUND(E92*'COS Internal Budget'!$D$20, 0)</f>
        <v>7868</v>
      </c>
    </row>
    <row r="94" spans="1:5" x14ac:dyDescent="0.35">
      <c r="A94" s="58" t="str">
        <f t="shared" si="3"/>
        <v>PostDocFY32-33</v>
      </c>
      <c r="B94" s="58" t="s">
        <v>189</v>
      </c>
      <c r="C94" s="58" t="s">
        <v>263</v>
      </c>
      <c r="D94" s="59">
        <v>8.1500000000000003E-2</v>
      </c>
      <c r="E94" s="62">
        <f>ROUND(E93*'COS Internal Budget'!$D$20, 0)</f>
        <v>8261</v>
      </c>
    </row>
    <row r="95" spans="1:5" x14ac:dyDescent="0.35">
      <c r="A95" s="58" t="str">
        <f t="shared" si="3"/>
        <v>PostDocFY33-34</v>
      </c>
      <c r="B95" s="58" t="s">
        <v>254</v>
      </c>
      <c r="C95" s="58" t="s">
        <v>263</v>
      </c>
      <c r="D95" s="59">
        <v>8.1500000000000003E-2</v>
      </c>
      <c r="E95" s="62">
        <f>ROUND(E94*'COS Internal Budget'!$D$20, 0)</f>
        <v>8674</v>
      </c>
    </row>
    <row r="96" spans="1:5" x14ac:dyDescent="0.35">
      <c r="A96" s="58" t="str">
        <f t="shared" si="3"/>
        <v>PostDocFY34-35</v>
      </c>
      <c r="B96" s="58" t="s">
        <v>255</v>
      </c>
      <c r="C96" s="58" t="s">
        <v>263</v>
      </c>
      <c r="D96" s="59">
        <v>8.1500000000000003E-2</v>
      </c>
      <c r="E96" s="62">
        <f>ROUND(E95*'COS Internal Budget'!$D$20, 0)</f>
        <v>9108</v>
      </c>
    </row>
    <row r="97" spans="1:5" x14ac:dyDescent="0.35">
      <c r="A97" s="58" t="str">
        <f t="shared" si="3"/>
        <v>PostDocFY35-36</v>
      </c>
      <c r="B97" s="58" t="s">
        <v>256</v>
      </c>
      <c r="C97" s="58" t="s">
        <v>263</v>
      </c>
      <c r="D97" s="59">
        <v>8.1500000000000003E-2</v>
      </c>
      <c r="E97" s="62">
        <f>ROUND(E96*'COS Internal Budget'!$D$20, 0)</f>
        <v>9563</v>
      </c>
    </row>
    <row r="98" spans="1:5" x14ac:dyDescent="0.35">
      <c r="A98" s="58" t="str">
        <f t="shared" si="3"/>
        <v>PostDocFY36-37</v>
      </c>
      <c r="B98" s="58" t="s">
        <v>257</v>
      </c>
      <c r="C98" s="58" t="s">
        <v>263</v>
      </c>
      <c r="D98" s="59">
        <v>8.1500000000000003E-2</v>
      </c>
      <c r="E98" s="62">
        <f>ROUND(E97*'COS Internal Budget'!$D$20, 0)</f>
        <v>10041</v>
      </c>
    </row>
    <row r="99" spans="1:5" x14ac:dyDescent="0.35">
      <c r="A99" s="58" t="str">
        <f t="shared" si="3"/>
        <v>PostDocFY37-38</v>
      </c>
      <c r="B99" s="58" t="s">
        <v>258</v>
      </c>
      <c r="C99" s="58" t="s">
        <v>263</v>
      </c>
      <c r="D99" s="59">
        <v>8.1500000000000003E-2</v>
      </c>
      <c r="E99" s="62">
        <f>ROUND(E98*'COS Internal Budget'!$D$20, 0)</f>
        <v>10543</v>
      </c>
    </row>
    <row r="100" spans="1:5" x14ac:dyDescent="0.35">
      <c r="A100" s="58" t="str">
        <f t="shared" si="3"/>
        <v>PostDocFY38-39</v>
      </c>
      <c r="B100" s="58" t="s">
        <v>259</v>
      </c>
      <c r="C100" s="58" t="s">
        <v>263</v>
      </c>
      <c r="D100" s="59">
        <v>8.1500000000000003E-2</v>
      </c>
      <c r="E100" s="62">
        <f>ROUND(E99*'COS Internal Budget'!$D$20, 0)</f>
        <v>11070</v>
      </c>
    </row>
    <row r="101" spans="1:5" x14ac:dyDescent="0.35">
      <c r="A101" s="58" t="str">
        <f t="shared" si="3"/>
        <v>PostDocFY39-40</v>
      </c>
      <c r="B101" s="58" t="s">
        <v>260</v>
      </c>
      <c r="C101" s="58" t="s">
        <v>263</v>
      </c>
      <c r="D101" s="59">
        <v>8.1500000000000003E-2</v>
      </c>
      <c r="E101" s="62">
        <f>ROUND(E100*'COS Internal Budget'!$D$20, 0)</f>
        <v>11624</v>
      </c>
    </row>
    <row r="103" spans="1:5" x14ac:dyDescent="0.35">
      <c r="A103" s="258" t="str">
        <f t="shared" ref="A103:A119" si="4">_xlfn.CONCAT(C103,B103)</f>
        <v>Grad Student RAFY23-24</v>
      </c>
      <c r="B103" s="258" t="s">
        <v>158</v>
      </c>
      <c r="C103" s="258" t="s">
        <v>10</v>
      </c>
      <c r="D103" s="259">
        <v>8.1500000000000003E-2</v>
      </c>
      <c r="E103" s="260">
        <v>3093</v>
      </c>
    </row>
    <row r="104" spans="1:5" x14ac:dyDescent="0.35">
      <c r="A104" s="258" t="str">
        <f t="shared" si="4"/>
        <v>Grad Student RAFY24-25</v>
      </c>
      <c r="B104" s="258" t="s">
        <v>159</v>
      </c>
      <c r="C104" s="258" t="s">
        <v>10</v>
      </c>
      <c r="D104" s="259">
        <v>8.1500000000000003E-2</v>
      </c>
      <c r="E104" s="260">
        <v>3347.4</v>
      </c>
    </row>
    <row r="105" spans="1:5" x14ac:dyDescent="0.35">
      <c r="A105" s="58" t="str">
        <f t="shared" si="4"/>
        <v>Grad Student RAFY25-26</v>
      </c>
      <c r="B105" s="58" t="s">
        <v>160</v>
      </c>
      <c r="C105" s="58" t="s">
        <v>10</v>
      </c>
      <c r="D105" s="59">
        <v>8.1500000000000003E-2</v>
      </c>
      <c r="E105" s="260">
        <v>3615.12</v>
      </c>
    </row>
    <row r="106" spans="1:5" x14ac:dyDescent="0.35">
      <c r="A106" s="58" t="str">
        <f t="shared" si="4"/>
        <v>Grad Student RAFY26-27</v>
      </c>
      <c r="B106" s="58" t="s">
        <v>161</v>
      </c>
      <c r="C106" s="58" t="s">
        <v>10</v>
      </c>
      <c r="D106" s="59">
        <v>8.1500000000000003E-2</v>
      </c>
      <c r="E106" s="62">
        <f>ROUND(E105*'COS Internal Budget'!$D$20, 0)</f>
        <v>3796</v>
      </c>
    </row>
    <row r="107" spans="1:5" x14ac:dyDescent="0.35">
      <c r="A107" s="58" t="str">
        <f t="shared" si="4"/>
        <v>Grad Student RAFY27-28</v>
      </c>
      <c r="B107" s="58" t="s">
        <v>162</v>
      </c>
      <c r="C107" s="58" t="s">
        <v>10</v>
      </c>
      <c r="D107" s="59">
        <v>8.1500000000000003E-2</v>
      </c>
      <c r="E107" s="62">
        <f>ROUND(E106*'COS Internal Budget'!$D$20, 0)</f>
        <v>3986</v>
      </c>
    </row>
    <row r="108" spans="1:5" x14ac:dyDescent="0.35">
      <c r="A108" s="58" t="str">
        <f t="shared" si="4"/>
        <v>Grad Student RAFY28-29</v>
      </c>
      <c r="B108" s="58" t="s">
        <v>178</v>
      </c>
      <c r="C108" s="58" t="s">
        <v>10</v>
      </c>
      <c r="D108" s="59">
        <v>8.1500000000000003E-2</v>
      </c>
      <c r="E108" s="62">
        <f>ROUND(E107*'COS Internal Budget'!$D$20, 0)</f>
        <v>4185</v>
      </c>
    </row>
    <row r="109" spans="1:5" x14ac:dyDescent="0.35">
      <c r="A109" s="58" t="str">
        <f t="shared" si="4"/>
        <v>Grad Student RAFY29-30</v>
      </c>
      <c r="B109" s="58" t="s">
        <v>186</v>
      </c>
      <c r="C109" s="58" t="s">
        <v>10</v>
      </c>
      <c r="D109" s="59">
        <v>8.1500000000000003E-2</v>
      </c>
      <c r="E109" s="62">
        <f>ROUND(E108*'COS Internal Budget'!$D$20, 0)</f>
        <v>4394</v>
      </c>
    </row>
    <row r="110" spans="1:5" x14ac:dyDescent="0.35">
      <c r="A110" s="58" t="str">
        <f t="shared" si="4"/>
        <v>Grad Student RAFY30-31</v>
      </c>
      <c r="B110" s="58" t="s">
        <v>187</v>
      </c>
      <c r="C110" s="58" t="s">
        <v>10</v>
      </c>
      <c r="D110" s="59">
        <v>8.1500000000000003E-2</v>
      </c>
      <c r="E110" s="62">
        <f>ROUND(E109*'COS Internal Budget'!$D$20, 0)</f>
        <v>4614</v>
      </c>
    </row>
    <row r="111" spans="1:5" x14ac:dyDescent="0.35">
      <c r="A111" s="58" t="str">
        <f t="shared" si="4"/>
        <v>Grad Student RAFY31-32</v>
      </c>
      <c r="B111" s="58" t="s">
        <v>188</v>
      </c>
      <c r="C111" s="58" t="s">
        <v>10</v>
      </c>
      <c r="D111" s="59">
        <v>8.1500000000000003E-2</v>
      </c>
      <c r="E111" s="62">
        <f>ROUND(E110*'COS Internal Budget'!$D$20, 0)</f>
        <v>4845</v>
      </c>
    </row>
    <row r="112" spans="1:5" x14ac:dyDescent="0.35">
      <c r="A112" s="58" t="str">
        <f t="shared" si="4"/>
        <v>Grad Student RAFY32-33</v>
      </c>
      <c r="B112" s="58" t="s">
        <v>189</v>
      </c>
      <c r="C112" s="58" t="s">
        <v>10</v>
      </c>
      <c r="D112" s="59">
        <v>8.1500000000000003E-2</v>
      </c>
      <c r="E112" s="62">
        <f>ROUND(E111*'COS Internal Budget'!$D$20, 0)</f>
        <v>5087</v>
      </c>
    </row>
    <row r="113" spans="1:5" x14ac:dyDescent="0.35">
      <c r="A113" s="58" t="str">
        <f t="shared" si="4"/>
        <v>Grad Student RAFY33-34</v>
      </c>
      <c r="B113" s="58" t="s">
        <v>254</v>
      </c>
      <c r="C113" s="58" t="s">
        <v>10</v>
      </c>
      <c r="D113" s="59">
        <v>8.1500000000000003E-2</v>
      </c>
      <c r="E113" s="62">
        <f>ROUND(E112*'COS Internal Budget'!$D$20, 0)</f>
        <v>5341</v>
      </c>
    </row>
    <row r="114" spans="1:5" x14ac:dyDescent="0.35">
      <c r="A114" s="58" t="str">
        <f t="shared" si="4"/>
        <v>Grad Student RAFY34-35</v>
      </c>
      <c r="B114" s="58" t="s">
        <v>255</v>
      </c>
      <c r="C114" s="58" t="s">
        <v>10</v>
      </c>
      <c r="D114" s="59">
        <v>8.1500000000000003E-2</v>
      </c>
      <c r="E114" s="62">
        <f>ROUND(E113*'COS Internal Budget'!$D$20, 0)</f>
        <v>5608</v>
      </c>
    </row>
    <row r="115" spans="1:5" x14ac:dyDescent="0.35">
      <c r="A115" s="58" t="str">
        <f t="shared" si="4"/>
        <v>Grad Student RAFY35-36</v>
      </c>
      <c r="B115" s="58" t="s">
        <v>256</v>
      </c>
      <c r="C115" s="58" t="s">
        <v>10</v>
      </c>
      <c r="D115" s="59">
        <v>8.1500000000000003E-2</v>
      </c>
      <c r="E115" s="62">
        <f>ROUND(E114*'COS Internal Budget'!$D$20, 0)</f>
        <v>5888</v>
      </c>
    </row>
    <row r="116" spans="1:5" x14ac:dyDescent="0.35">
      <c r="A116" s="58" t="str">
        <f t="shared" si="4"/>
        <v>Grad Student RAFY36-37</v>
      </c>
      <c r="B116" s="58" t="s">
        <v>257</v>
      </c>
      <c r="C116" s="58" t="s">
        <v>10</v>
      </c>
      <c r="D116" s="59">
        <v>8.1500000000000003E-2</v>
      </c>
      <c r="E116" s="62">
        <f>ROUND(E115*'COS Internal Budget'!$D$20, 0)</f>
        <v>6182</v>
      </c>
    </row>
    <row r="117" spans="1:5" x14ac:dyDescent="0.35">
      <c r="A117" s="58" t="str">
        <f t="shared" si="4"/>
        <v>Grad Student RAFY37-38</v>
      </c>
      <c r="B117" s="58" t="s">
        <v>258</v>
      </c>
      <c r="C117" s="58" t="s">
        <v>10</v>
      </c>
      <c r="D117" s="59">
        <v>8.1500000000000003E-2</v>
      </c>
      <c r="E117" s="62">
        <f>ROUND(E116*'COS Internal Budget'!$D$20, 0)</f>
        <v>6491</v>
      </c>
    </row>
    <row r="118" spans="1:5" x14ac:dyDescent="0.35">
      <c r="A118" s="58" t="str">
        <f t="shared" si="4"/>
        <v>Grad Student RAFY38-39</v>
      </c>
      <c r="B118" s="58" t="s">
        <v>259</v>
      </c>
      <c r="C118" s="58" t="s">
        <v>10</v>
      </c>
      <c r="D118" s="59">
        <v>8.1500000000000003E-2</v>
      </c>
      <c r="E118" s="62">
        <f>ROUND(E117*'COS Internal Budget'!$D$20, 0)</f>
        <v>6816</v>
      </c>
    </row>
    <row r="119" spans="1:5" x14ac:dyDescent="0.35">
      <c r="A119" s="58" t="str">
        <f t="shared" si="4"/>
        <v>Grad Student RAFY39-40</v>
      </c>
      <c r="B119" s="58" t="s">
        <v>260</v>
      </c>
      <c r="C119" s="58" t="s">
        <v>10</v>
      </c>
      <c r="D119" s="59">
        <v>8.1500000000000003E-2</v>
      </c>
      <c r="E119" s="62">
        <f>ROUND(E118*'COS Internal Budget'!$D$20, 0)</f>
        <v>7157</v>
      </c>
    </row>
    <row r="121" spans="1:5" x14ac:dyDescent="0.35">
      <c r="A121" s="258" t="str">
        <f t="shared" ref="A121:A137" si="5">_xlfn.CONCAT(C121,B121)</f>
        <v>Student HourlyFY23-24</v>
      </c>
      <c r="B121" s="258" t="s">
        <v>158</v>
      </c>
      <c r="C121" s="258" t="s">
        <v>264</v>
      </c>
      <c r="D121" s="259">
        <v>8.1500000000000003E-2</v>
      </c>
      <c r="E121" s="260">
        <v>0</v>
      </c>
    </row>
    <row r="122" spans="1:5" x14ac:dyDescent="0.35">
      <c r="A122" s="258" t="str">
        <f t="shared" si="5"/>
        <v>Student HourlyFY24-25</v>
      </c>
      <c r="B122" s="258" t="s">
        <v>159</v>
      </c>
      <c r="C122" s="258" t="s">
        <v>264</v>
      </c>
      <c r="D122" s="259">
        <v>8.1500000000000003E-2</v>
      </c>
      <c r="E122" s="260">
        <v>0</v>
      </c>
    </row>
    <row r="123" spans="1:5" x14ac:dyDescent="0.35">
      <c r="A123" s="58" t="str">
        <f t="shared" si="5"/>
        <v>Student HourlyFY25-26</v>
      </c>
      <c r="B123" s="58" t="s">
        <v>160</v>
      </c>
      <c r="C123" s="58" t="s">
        <v>264</v>
      </c>
      <c r="D123" s="59">
        <v>8.1500000000000003E-2</v>
      </c>
      <c r="E123" s="260">
        <v>0</v>
      </c>
    </row>
    <row r="124" spans="1:5" x14ac:dyDescent="0.35">
      <c r="A124" s="58" t="str">
        <f t="shared" si="5"/>
        <v>Student HourlyFY26-27</v>
      </c>
      <c r="B124" s="58" t="s">
        <v>161</v>
      </c>
      <c r="C124" s="58" t="s">
        <v>264</v>
      </c>
      <c r="D124" s="59">
        <v>8.1500000000000003E-2</v>
      </c>
      <c r="E124" s="62">
        <v>0</v>
      </c>
    </row>
    <row r="125" spans="1:5" x14ac:dyDescent="0.35">
      <c r="A125" s="58" t="str">
        <f t="shared" si="5"/>
        <v>Student HourlyFY27-28</v>
      </c>
      <c r="B125" s="58" t="s">
        <v>162</v>
      </c>
      <c r="C125" s="58" t="s">
        <v>264</v>
      </c>
      <c r="D125" s="59">
        <v>8.1500000000000003E-2</v>
      </c>
      <c r="E125" s="62">
        <v>0</v>
      </c>
    </row>
    <row r="126" spans="1:5" x14ac:dyDescent="0.35">
      <c r="A126" s="58" t="str">
        <f t="shared" si="5"/>
        <v>Student HourlyFY28-29</v>
      </c>
      <c r="B126" s="58" t="s">
        <v>178</v>
      </c>
      <c r="C126" s="58" t="s">
        <v>264</v>
      </c>
      <c r="D126" s="59">
        <v>8.1500000000000003E-2</v>
      </c>
      <c r="E126" s="62">
        <v>0</v>
      </c>
    </row>
    <row r="127" spans="1:5" x14ac:dyDescent="0.35">
      <c r="A127" s="58" t="str">
        <f t="shared" si="5"/>
        <v>Student HourlyFY29-30</v>
      </c>
      <c r="B127" s="58" t="s">
        <v>186</v>
      </c>
      <c r="C127" s="58" t="s">
        <v>264</v>
      </c>
      <c r="D127" s="59">
        <v>8.1500000000000003E-2</v>
      </c>
      <c r="E127" s="62">
        <v>0</v>
      </c>
    </row>
    <row r="128" spans="1:5" x14ac:dyDescent="0.35">
      <c r="A128" s="58" t="str">
        <f t="shared" si="5"/>
        <v>Student HourlyFY30-31</v>
      </c>
      <c r="B128" s="58" t="s">
        <v>187</v>
      </c>
      <c r="C128" s="58" t="s">
        <v>264</v>
      </c>
      <c r="D128" s="59">
        <v>8.1500000000000003E-2</v>
      </c>
      <c r="E128" s="62">
        <v>0</v>
      </c>
    </row>
    <row r="129" spans="1:5" x14ac:dyDescent="0.35">
      <c r="A129" s="58" t="str">
        <f t="shared" si="5"/>
        <v>Student HourlyFY31-32</v>
      </c>
      <c r="B129" s="58" t="s">
        <v>188</v>
      </c>
      <c r="C129" s="58" t="s">
        <v>264</v>
      </c>
      <c r="D129" s="59">
        <v>8.1500000000000003E-2</v>
      </c>
      <c r="E129" s="62">
        <v>0</v>
      </c>
    </row>
    <row r="130" spans="1:5" x14ac:dyDescent="0.35">
      <c r="A130" s="58" t="str">
        <f t="shared" si="5"/>
        <v>Student HourlyFY32-33</v>
      </c>
      <c r="B130" s="58" t="s">
        <v>189</v>
      </c>
      <c r="C130" s="58" t="s">
        <v>264</v>
      </c>
      <c r="D130" s="59">
        <v>8.1500000000000003E-2</v>
      </c>
      <c r="E130" s="62">
        <v>0</v>
      </c>
    </row>
    <row r="131" spans="1:5" x14ac:dyDescent="0.35">
      <c r="A131" s="58" t="str">
        <f t="shared" si="5"/>
        <v>Student HourlyFY33-34</v>
      </c>
      <c r="B131" s="58" t="s">
        <v>254</v>
      </c>
      <c r="C131" s="58" t="s">
        <v>264</v>
      </c>
      <c r="D131" s="59">
        <v>8.1500000000000003E-2</v>
      </c>
      <c r="E131" s="62">
        <v>0</v>
      </c>
    </row>
    <row r="132" spans="1:5" x14ac:dyDescent="0.35">
      <c r="A132" s="58" t="str">
        <f t="shared" si="5"/>
        <v>Student HourlyFY34-35</v>
      </c>
      <c r="B132" s="58" t="s">
        <v>255</v>
      </c>
      <c r="C132" s="58" t="s">
        <v>264</v>
      </c>
      <c r="D132" s="59">
        <v>8.1500000000000003E-2</v>
      </c>
      <c r="E132" s="62">
        <v>0</v>
      </c>
    </row>
    <row r="133" spans="1:5" x14ac:dyDescent="0.35">
      <c r="A133" s="58" t="str">
        <f t="shared" si="5"/>
        <v>Student HourlyFY35-36</v>
      </c>
      <c r="B133" s="58" t="s">
        <v>256</v>
      </c>
      <c r="C133" s="58" t="s">
        <v>264</v>
      </c>
      <c r="D133" s="59">
        <v>8.1500000000000003E-2</v>
      </c>
      <c r="E133" s="62">
        <v>0</v>
      </c>
    </row>
    <row r="134" spans="1:5" x14ac:dyDescent="0.35">
      <c r="A134" s="58" t="str">
        <f t="shared" si="5"/>
        <v>Student HourlyFY36-37</v>
      </c>
      <c r="B134" s="58" t="s">
        <v>257</v>
      </c>
      <c r="C134" s="58" t="s">
        <v>264</v>
      </c>
      <c r="D134" s="59">
        <v>8.1500000000000003E-2</v>
      </c>
      <c r="E134" s="62">
        <v>0</v>
      </c>
    </row>
    <row r="135" spans="1:5" x14ac:dyDescent="0.35">
      <c r="A135" s="58" t="str">
        <f t="shared" si="5"/>
        <v>Student HourlyFY37-38</v>
      </c>
      <c r="B135" s="58" t="s">
        <v>258</v>
      </c>
      <c r="C135" s="58" t="s">
        <v>264</v>
      </c>
      <c r="D135" s="59">
        <v>8.1500000000000003E-2</v>
      </c>
      <c r="E135" s="62">
        <v>0</v>
      </c>
    </row>
    <row r="136" spans="1:5" x14ac:dyDescent="0.35">
      <c r="A136" s="58" t="str">
        <f t="shared" si="5"/>
        <v>Student HourlyFY38-39</v>
      </c>
      <c r="B136" s="58" t="s">
        <v>259</v>
      </c>
      <c r="C136" s="58" t="s">
        <v>264</v>
      </c>
      <c r="D136" s="59">
        <v>8.1500000000000003E-2</v>
      </c>
      <c r="E136" s="62">
        <v>0</v>
      </c>
    </row>
    <row r="137" spans="1:5" x14ac:dyDescent="0.35">
      <c r="A137" s="58" t="str">
        <f t="shared" si="5"/>
        <v>Student HourlyFY39-40</v>
      </c>
      <c r="B137" s="58" t="s">
        <v>260</v>
      </c>
      <c r="C137" s="58" t="s">
        <v>264</v>
      </c>
      <c r="D137" s="59">
        <v>8.1500000000000003E-2</v>
      </c>
      <c r="E137" s="62">
        <v>0</v>
      </c>
    </row>
    <row r="139" spans="1:5" x14ac:dyDescent="0.35">
      <c r="A139" s="258" t="str">
        <f t="shared" ref="A139:A155" si="6">_xlfn.CONCAT(C139,B139)</f>
        <v>Non-Student HourlyFY23-24</v>
      </c>
      <c r="B139" s="258" t="s">
        <v>158</v>
      </c>
      <c r="C139" s="258" t="s">
        <v>16</v>
      </c>
      <c r="D139" s="259">
        <v>8.1500000000000003E-2</v>
      </c>
      <c r="E139" s="260">
        <v>0</v>
      </c>
    </row>
    <row r="140" spans="1:5" x14ac:dyDescent="0.35">
      <c r="A140" s="258" t="str">
        <f t="shared" si="6"/>
        <v>Non-Student HourlyFY24-25</v>
      </c>
      <c r="B140" s="258" t="s">
        <v>159</v>
      </c>
      <c r="C140" s="258" t="s">
        <v>16</v>
      </c>
      <c r="D140" s="259">
        <v>8.1500000000000003E-2</v>
      </c>
      <c r="E140" s="260">
        <v>0</v>
      </c>
    </row>
    <row r="141" spans="1:5" x14ac:dyDescent="0.35">
      <c r="A141" s="58" t="str">
        <f t="shared" si="6"/>
        <v>Non-Student HourlyFY25-26</v>
      </c>
      <c r="B141" s="58" t="s">
        <v>160</v>
      </c>
      <c r="C141" s="58" t="s">
        <v>16</v>
      </c>
      <c r="D141" s="59">
        <v>8.1500000000000003E-2</v>
      </c>
      <c r="E141" s="260">
        <v>0</v>
      </c>
    </row>
    <row r="142" spans="1:5" x14ac:dyDescent="0.35">
      <c r="A142" s="58" t="str">
        <f t="shared" si="6"/>
        <v>Non-Student HourlyFY26-27</v>
      </c>
      <c r="B142" s="58" t="s">
        <v>161</v>
      </c>
      <c r="C142" s="58" t="s">
        <v>16</v>
      </c>
      <c r="D142" s="59">
        <v>8.1500000000000003E-2</v>
      </c>
      <c r="E142" s="62">
        <v>0</v>
      </c>
    </row>
    <row r="143" spans="1:5" x14ac:dyDescent="0.35">
      <c r="A143" s="58" t="str">
        <f t="shared" si="6"/>
        <v>Non-Student HourlyFY27-28</v>
      </c>
      <c r="B143" s="58" t="s">
        <v>162</v>
      </c>
      <c r="C143" s="58" t="s">
        <v>16</v>
      </c>
      <c r="D143" s="59">
        <v>8.1500000000000003E-2</v>
      </c>
      <c r="E143" s="62">
        <v>0</v>
      </c>
    </row>
    <row r="144" spans="1:5" x14ac:dyDescent="0.35">
      <c r="A144" s="58" t="str">
        <f t="shared" si="6"/>
        <v>Non-Student HourlyFY28-29</v>
      </c>
      <c r="B144" s="58" t="s">
        <v>178</v>
      </c>
      <c r="C144" s="58" t="s">
        <v>16</v>
      </c>
      <c r="D144" s="59">
        <v>8.1500000000000003E-2</v>
      </c>
      <c r="E144" s="62">
        <v>0</v>
      </c>
    </row>
    <row r="145" spans="1:5" x14ac:dyDescent="0.35">
      <c r="A145" s="58" t="str">
        <f t="shared" si="6"/>
        <v>Non-Student HourlyFY29-30</v>
      </c>
      <c r="B145" s="58" t="s">
        <v>186</v>
      </c>
      <c r="C145" s="58" t="s">
        <v>16</v>
      </c>
      <c r="D145" s="59">
        <v>8.1500000000000003E-2</v>
      </c>
      <c r="E145" s="62">
        <v>0</v>
      </c>
    </row>
    <row r="146" spans="1:5" x14ac:dyDescent="0.35">
      <c r="A146" s="58" t="str">
        <f t="shared" si="6"/>
        <v>Non-Student HourlyFY30-31</v>
      </c>
      <c r="B146" s="58" t="s">
        <v>187</v>
      </c>
      <c r="C146" s="58" t="s">
        <v>16</v>
      </c>
      <c r="D146" s="59">
        <v>8.1500000000000003E-2</v>
      </c>
      <c r="E146" s="62">
        <v>0</v>
      </c>
    </row>
    <row r="147" spans="1:5" x14ac:dyDescent="0.35">
      <c r="A147" s="58" t="str">
        <f t="shared" si="6"/>
        <v>Non-Student HourlyFY31-32</v>
      </c>
      <c r="B147" s="58" t="s">
        <v>188</v>
      </c>
      <c r="C147" s="58" t="s">
        <v>16</v>
      </c>
      <c r="D147" s="59">
        <v>8.1500000000000003E-2</v>
      </c>
      <c r="E147" s="62">
        <v>0</v>
      </c>
    </row>
    <row r="148" spans="1:5" x14ac:dyDescent="0.35">
      <c r="A148" s="58" t="str">
        <f t="shared" si="6"/>
        <v>Non-Student HourlyFY32-33</v>
      </c>
      <c r="B148" s="58" t="s">
        <v>189</v>
      </c>
      <c r="C148" s="58" t="s">
        <v>16</v>
      </c>
      <c r="D148" s="59">
        <v>8.1500000000000003E-2</v>
      </c>
      <c r="E148" s="62">
        <v>0</v>
      </c>
    </row>
    <row r="149" spans="1:5" x14ac:dyDescent="0.35">
      <c r="A149" s="58" t="str">
        <f t="shared" si="6"/>
        <v>Non-Student HourlyFY33-34</v>
      </c>
      <c r="B149" s="58" t="s">
        <v>254</v>
      </c>
      <c r="C149" s="58" t="s">
        <v>16</v>
      </c>
      <c r="D149" s="59">
        <v>8.1500000000000003E-2</v>
      </c>
      <c r="E149" s="62">
        <v>0</v>
      </c>
    </row>
    <row r="150" spans="1:5" x14ac:dyDescent="0.35">
      <c r="A150" s="58" t="str">
        <f t="shared" si="6"/>
        <v>Non-Student HourlyFY34-35</v>
      </c>
      <c r="B150" s="58" t="s">
        <v>255</v>
      </c>
      <c r="C150" s="58" t="s">
        <v>16</v>
      </c>
      <c r="D150" s="59">
        <v>8.1500000000000003E-2</v>
      </c>
      <c r="E150" s="62">
        <v>0</v>
      </c>
    </row>
    <row r="151" spans="1:5" x14ac:dyDescent="0.35">
      <c r="A151" s="58" t="str">
        <f t="shared" si="6"/>
        <v>Non-Student HourlyFY35-36</v>
      </c>
      <c r="B151" s="58" t="s">
        <v>256</v>
      </c>
      <c r="C151" s="58" t="s">
        <v>16</v>
      </c>
      <c r="D151" s="59">
        <v>8.1500000000000003E-2</v>
      </c>
      <c r="E151" s="62">
        <v>0</v>
      </c>
    </row>
    <row r="152" spans="1:5" x14ac:dyDescent="0.35">
      <c r="A152" s="58" t="str">
        <f t="shared" si="6"/>
        <v>Non-Student HourlyFY36-37</v>
      </c>
      <c r="B152" s="58" t="s">
        <v>257</v>
      </c>
      <c r="C152" s="58" t="s">
        <v>16</v>
      </c>
      <c r="D152" s="59">
        <v>8.1500000000000003E-2</v>
      </c>
      <c r="E152" s="62">
        <v>0</v>
      </c>
    </row>
    <row r="153" spans="1:5" x14ac:dyDescent="0.35">
      <c r="A153" s="58" t="str">
        <f t="shared" si="6"/>
        <v>Non-Student HourlyFY37-38</v>
      </c>
      <c r="B153" s="58" t="s">
        <v>258</v>
      </c>
      <c r="C153" s="58" t="s">
        <v>16</v>
      </c>
      <c r="D153" s="59">
        <v>8.1500000000000003E-2</v>
      </c>
      <c r="E153" s="62">
        <v>0</v>
      </c>
    </row>
    <row r="154" spans="1:5" x14ac:dyDescent="0.35">
      <c r="A154" s="58" t="str">
        <f t="shared" si="6"/>
        <v>Non-Student HourlyFY38-39</v>
      </c>
      <c r="B154" s="58" t="s">
        <v>259</v>
      </c>
      <c r="C154" s="58" t="s">
        <v>16</v>
      </c>
      <c r="D154" s="59">
        <v>8.1500000000000003E-2</v>
      </c>
      <c r="E154" s="62">
        <v>0</v>
      </c>
    </row>
    <row r="155" spans="1:5" x14ac:dyDescent="0.35">
      <c r="A155" s="58" t="str">
        <f t="shared" si="6"/>
        <v>Non-Student HourlyFY39-40</v>
      </c>
      <c r="B155" s="58" t="s">
        <v>260</v>
      </c>
      <c r="C155" s="58" t="s">
        <v>16</v>
      </c>
      <c r="D155" s="59">
        <v>8.1500000000000003E-2</v>
      </c>
      <c r="E155" s="62">
        <v>0</v>
      </c>
    </row>
  </sheetData>
  <mergeCells count="1">
    <mergeCell ref="G1:H1"/>
  </mergeCells>
  <phoneticPr fontId="36" type="noConversion"/>
  <hyperlinks>
    <hyperlink ref="G1:H1" r:id="rId1" display="SPARCS Link" xr:uid="{B0214108-852D-49C9-A95F-8EA496386B3A}"/>
  </hyperlinks>
  <pageMargins left="0.7" right="0.7" top="0.75" bottom="0.75" header="0.3" footer="0.3"/>
  <pageSetup orientation="portrait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51D8B-BC20-4486-A4EC-1274A4953616}">
  <sheetPr>
    <tabColor theme="9" tint="0.59999389629810485"/>
  </sheetPr>
  <dimension ref="A1:I78"/>
  <sheetViews>
    <sheetView zoomScaleNormal="100" workbookViewId="0">
      <selection activeCell="D29" sqref="D29"/>
    </sheetView>
  </sheetViews>
  <sheetFormatPr defaultColWidth="8.7265625" defaultRowHeight="15.5" x14ac:dyDescent="0.35"/>
  <cols>
    <col min="1" max="1" width="20.54296875" style="58" bestFit="1" customWidth="1"/>
    <col min="2" max="2" width="12.54296875" style="58" bestFit="1" customWidth="1"/>
    <col min="3" max="3" width="18.81640625" style="58" bestFit="1" customWidth="1"/>
    <col min="4" max="4" width="24.26953125" style="62" bestFit="1" customWidth="1"/>
    <col min="5" max="5" width="18.81640625" style="58" bestFit="1" customWidth="1"/>
    <col min="6" max="6" width="21.1796875" style="58" bestFit="1" customWidth="1"/>
    <col min="7" max="7" width="23.54296875" style="58" bestFit="1" customWidth="1"/>
    <col min="8" max="8" width="2.453125" style="58" bestFit="1" customWidth="1"/>
    <col min="9" max="9" width="36.26953125" style="58" bestFit="1" customWidth="1"/>
    <col min="10" max="16384" width="8.7265625" style="58"/>
  </cols>
  <sheetData>
    <row r="1" spans="1:9" x14ac:dyDescent="0.35">
      <c r="E1" s="80" t="s">
        <v>303</v>
      </c>
      <c r="F1" s="67" t="s">
        <v>266</v>
      </c>
      <c r="G1" s="58" t="s">
        <v>279</v>
      </c>
    </row>
    <row r="2" spans="1:9" x14ac:dyDescent="0.35">
      <c r="E2" s="63" t="s">
        <v>164</v>
      </c>
      <c r="F2" s="64">
        <v>5115</v>
      </c>
      <c r="G2" s="58" t="s">
        <v>268</v>
      </c>
      <c r="H2" s="58" t="s">
        <v>269</v>
      </c>
      <c r="I2" s="58" t="s">
        <v>268</v>
      </c>
    </row>
    <row r="3" spans="1:9" x14ac:dyDescent="0.35">
      <c r="E3" s="63" t="s">
        <v>165</v>
      </c>
      <c r="F3" s="64">
        <v>1252.25</v>
      </c>
      <c r="G3" s="58" t="s">
        <v>270</v>
      </c>
      <c r="H3" s="58" t="s">
        <v>269</v>
      </c>
      <c r="I3" s="58" t="s">
        <v>271</v>
      </c>
    </row>
    <row r="4" spans="1:9" x14ac:dyDescent="0.35">
      <c r="E4" s="63" t="s">
        <v>167</v>
      </c>
      <c r="F4" s="64">
        <v>15764</v>
      </c>
      <c r="G4" s="58" t="s">
        <v>274</v>
      </c>
      <c r="H4" s="58" t="s">
        <v>269</v>
      </c>
      <c r="I4" s="58" t="s">
        <v>275</v>
      </c>
    </row>
    <row r="5" spans="1:9" ht="16" thickBot="1" x14ac:dyDescent="0.4">
      <c r="E5" s="65" t="s">
        <v>168</v>
      </c>
      <c r="F5" s="66">
        <f>(F4-F2)*0.25</f>
        <v>2662.25</v>
      </c>
      <c r="G5" s="58" t="s">
        <v>277</v>
      </c>
      <c r="H5" s="58" t="s">
        <v>269</v>
      </c>
      <c r="I5" s="58" t="s">
        <v>278</v>
      </c>
    </row>
    <row r="6" spans="1:9" x14ac:dyDescent="0.35">
      <c r="A6" s="57" t="s">
        <v>280</v>
      </c>
      <c r="B6" s="57" t="s">
        <v>261</v>
      </c>
      <c r="C6" s="57" t="s">
        <v>265</v>
      </c>
      <c r="D6" s="61" t="s">
        <v>266</v>
      </c>
      <c r="G6" s="58" t="s">
        <v>272</v>
      </c>
      <c r="H6" s="58" t="s">
        <v>269</v>
      </c>
      <c r="I6" s="58" t="s">
        <v>273</v>
      </c>
    </row>
    <row r="8" spans="1:9" x14ac:dyDescent="0.35">
      <c r="A8" s="258" t="str">
        <f>C8&amp;B8</f>
        <v>in-stateFY23-24</v>
      </c>
      <c r="B8" s="258" t="s">
        <v>158</v>
      </c>
      <c r="C8" s="258" t="s">
        <v>166</v>
      </c>
      <c r="D8" s="260">
        <f>ROUND(4729.5,0)</f>
        <v>4730</v>
      </c>
    </row>
    <row r="9" spans="1:9" x14ac:dyDescent="0.35">
      <c r="A9" s="258" t="str">
        <f t="shared" ref="A9:A72" si="0">C9&amp;B9</f>
        <v>in-stateFY24-25</v>
      </c>
      <c r="B9" s="258" t="s">
        <v>159</v>
      </c>
      <c r="C9" s="258" t="s">
        <v>166</v>
      </c>
      <c r="D9" s="260">
        <f>ROUND(4918.5,0)</f>
        <v>4919</v>
      </c>
    </row>
    <row r="10" spans="1:9" x14ac:dyDescent="0.35">
      <c r="A10" s="258" t="str">
        <f t="shared" si="0"/>
        <v>in-stateFY25-26</v>
      </c>
      <c r="B10" s="258" t="s">
        <v>160</v>
      </c>
      <c r="C10" s="258" t="s">
        <v>166</v>
      </c>
      <c r="D10" s="260">
        <f>ROUND(5115,0)</f>
        <v>5115</v>
      </c>
    </row>
    <row r="11" spans="1:9" x14ac:dyDescent="0.35">
      <c r="A11" s="58" t="str">
        <f t="shared" si="0"/>
        <v>in-stateFY26-27</v>
      </c>
      <c r="B11" s="58" t="s">
        <v>161</v>
      </c>
      <c r="C11" s="58" t="s">
        <v>166</v>
      </c>
      <c r="D11" s="62">
        <f>ROUND(D10*'COS Internal Budget'!$C$20,0)</f>
        <v>5627</v>
      </c>
    </row>
    <row r="12" spans="1:9" x14ac:dyDescent="0.35">
      <c r="A12" s="58" t="str">
        <f t="shared" si="0"/>
        <v>in-stateFY27-28</v>
      </c>
      <c r="B12" s="58" t="s">
        <v>162</v>
      </c>
      <c r="C12" s="58" t="s">
        <v>166</v>
      </c>
      <c r="D12" s="62">
        <f>ROUND(D11*'COS Internal Budget'!$C$20,0)</f>
        <v>6190</v>
      </c>
    </row>
    <row r="13" spans="1:9" x14ac:dyDescent="0.35">
      <c r="A13" s="58" t="str">
        <f t="shared" si="0"/>
        <v>in-stateFY28-29</v>
      </c>
      <c r="B13" s="58" t="s">
        <v>178</v>
      </c>
      <c r="C13" s="58" t="s">
        <v>166</v>
      </c>
      <c r="D13" s="62">
        <f>ROUND(D12*'COS Internal Budget'!$C$20,0)</f>
        <v>6809</v>
      </c>
    </row>
    <row r="14" spans="1:9" x14ac:dyDescent="0.35">
      <c r="A14" s="58" t="str">
        <f t="shared" si="0"/>
        <v>in-stateFY29-30</v>
      </c>
      <c r="B14" s="58" t="s">
        <v>186</v>
      </c>
      <c r="C14" s="58" t="s">
        <v>166</v>
      </c>
      <c r="D14" s="62">
        <f>ROUND(D13*'COS Internal Budget'!$C$20,0)</f>
        <v>7490</v>
      </c>
    </row>
    <row r="15" spans="1:9" x14ac:dyDescent="0.35">
      <c r="A15" s="58" t="str">
        <f t="shared" si="0"/>
        <v>in-stateFY30-31</v>
      </c>
      <c r="B15" s="58" t="s">
        <v>187</v>
      </c>
      <c r="C15" s="58" t="s">
        <v>166</v>
      </c>
      <c r="D15" s="62">
        <f>ROUND(D14*'COS Internal Budget'!$C$20,0)</f>
        <v>8239</v>
      </c>
    </row>
    <row r="16" spans="1:9" x14ac:dyDescent="0.35">
      <c r="A16" s="58" t="str">
        <f t="shared" si="0"/>
        <v>in-stateFY31-32</v>
      </c>
      <c r="B16" s="58" t="s">
        <v>188</v>
      </c>
      <c r="C16" s="58" t="s">
        <v>166</v>
      </c>
      <c r="D16" s="62">
        <f>ROUND(D15*'COS Internal Budget'!$C$20,0)</f>
        <v>9063</v>
      </c>
    </row>
    <row r="17" spans="1:4" x14ac:dyDescent="0.35">
      <c r="A17" s="58" t="str">
        <f t="shared" si="0"/>
        <v>in-stateFY32-33</v>
      </c>
      <c r="B17" s="58" t="s">
        <v>189</v>
      </c>
      <c r="C17" s="58" t="s">
        <v>166</v>
      </c>
      <c r="D17" s="62">
        <f>ROUND(D16*'COS Internal Budget'!$C$20,0)</f>
        <v>9969</v>
      </c>
    </row>
    <row r="18" spans="1:4" x14ac:dyDescent="0.35">
      <c r="A18" s="58" t="str">
        <f t="shared" si="0"/>
        <v>in-stateFY33-34</v>
      </c>
      <c r="B18" s="58" t="s">
        <v>254</v>
      </c>
      <c r="C18" s="58" t="s">
        <v>166</v>
      </c>
      <c r="D18" s="62">
        <f>ROUND(D17*'COS Internal Budget'!$C$20,0)</f>
        <v>10966</v>
      </c>
    </row>
    <row r="19" spans="1:4" x14ac:dyDescent="0.35">
      <c r="A19" s="58" t="str">
        <f t="shared" si="0"/>
        <v>in-stateFY34-35</v>
      </c>
      <c r="B19" s="58" t="s">
        <v>255</v>
      </c>
      <c r="C19" s="58" t="s">
        <v>166</v>
      </c>
      <c r="D19" s="62">
        <f>ROUND(D18*'COS Internal Budget'!$C$20,0)</f>
        <v>12063</v>
      </c>
    </row>
    <row r="20" spans="1:4" x14ac:dyDescent="0.35">
      <c r="A20" s="58" t="str">
        <f t="shared" si="0"/>
        <v>in-stateFY35-36</v>
      </c>
      <c r="B20" s="58" t="s">
        <v>256</v>
      </c>
      <c r="C20" s="58" t="s">
        <v>166</v>
      </c>
      <c r="D20" s="62">
        <f>ROUND(D19*'COS Internal Budget'!$C$20,0)</f>
        <v>13269</v>
      </c>
    </row>
    <row r="21" spans="1:4" x14ac:dyDescent="0.35">
      <c r="A21" s="58" t="str">
        <f t="shared" si="0"/>
        <v>in-stateFY36-37</v>
      </c>
      <c r="B21" s="58" t="s">
        <v>257</v>
      </c>
      <c r="C21" s="58" t="s">
        <v>166</v>
      </c>
      <c r="D21" s="62">
        <f>ROUND(D20*'COS Internal Budget'!$C$20,0)</f>
        <v>14596</v>
      </c>
    </row>
    <row r="22" spans="1:4" x14ac:dyDescent="0.35">
      <c r="A22" s="58" t="str">
        <f t="shared" si="0"/>
        <v>in-stateFY37-38</v>
      </c>
      <c r="B22" s="58" t="s">
        <v>258</v>
      </c>
      <c r="C22" s="58" t="s">
        <v>166</v>
      </c>
      <c r="D22" s="62">
        <f>ROUND(D21*'COS Internal Budget'!$C$20,0)</f>
        <v>16056</v>
      </c>
    </row>
    <row r="23" spans="1:4" x14ac:dyDescent="0.35">
      <c r="A23" s="58" t="str">
        <f t="shared" si="0"/>
        <v>in-stateFY38-39</v>
      </c>
      <c r="B23" s="58" t="s">
        <v>259</v>
      </c>
      <c r="C23" s="58" t="s">
        <v>166</v>
      </c>
      <c r="D23" s="62">
        <f>ROUND(D22*'COS Internal Budget'!$C$20,0)</f>
        <v>17662</v>
      </c>
    </row>
    <row r="24" spans="1:4" x14ac:dyDescent="0.35">
      <c r="A24" s="58" t="str">
        <f t="shared" si="0"/>
        <v>in-stateFY39-40</v>
      </c>
      <c r="B24" s="58" t="s">
        <v>260</v>
      </c>
      <c r="C24" s="58" t="s">
        <v>166</v>
      </c>
      <c r="D24" s="62">
        <f>ROUND(D23*'COS Internal Budget'!$C$20,0)</f>
        <v>19428</v>
      </c>
    </row>
    <row r="25" spans="1:4" x14ac:dyDescent="0.35">
      <c r="A25" s="58" t="str">
        <f t="shared" si="0"/>
        <v/>
      </c>
    </row>
    <row r="26" spans="1:4" x14ac:dyDescent="0.35">
      <c r="A26" s="258" t="str">
        <f t="shared" si="0"/>
        <v>out-of-stateFY23-24</v>
      </c>
      <c r="B26" s="258" t="s">
        <v>158</v>
      </c>
      <c r="C26" s="258" t="s">
        <v>87</v>
      </c>
      <c r="D26" s="260">
        <f>ROUND((4729.5+2496.75),0)</f>
        <v>7226</v>
      </c>
    </row>
    <row r="27" spans="1:4" x14ac:dyDescent="0.35">
      <c r="A27" s="258" t="str">
        <f t="shared" si="0"/>
        <v>out-of-stateFY24-25</v>
      </c>
      <c r="B27" s="258" t="s">
        <v>159</v>
      </c>
      <c r="C27" s="258" t="s">
        <v>87</v>
      </c>
      <c r="D27" s="260">
        <f>ROUND((4918.5+2596.625),0)</f>
        <v>7515</v>
      </c>
    </row>
    <row r="28" spans="1:4" x14ac:dyDescent="0.35">
      <c r="A28" s="258" t="str">
        <f t="shared" si="0"/>
        <v>out-of-stateFY25-26</v>
      </c>
      <c r="B28" s="258" t="s">
        <v>160</v>
      </c>
      <c r="C28" s="258" t="s">
        <v>87</v>
      </c>
      <c r="D28" s="260">
        <f>ROUND((5115+2662.25),0)</f>
        <v>7777</v>
      </c>
    </row>
    <row r="29" spans="1:4" x14ac:dyDescent="0.35">
      <c r="A29" s="58" t="str">
        <f t="shared" si="0"/>
        <v>out-of-stateFY26-27</v>
      </c>
      <c r="B29" s="58" t="s">
        <v>161</v>
      </c>
      <c r="C29" s="58" t="s">
        <v>87</v>
      </c>
      <c r="D29" s="62">
        <f>ROUND(D28*'COS Internal Budget'!$C$20,0)</f>
        <v>8555</v>
      </c>
    </row>
    <row r="30" spans="1:4" x14ac:dyDescent="0.35">
      <c r="A30" s="58" t="str">
        <f t="shared" si="0"/>
        <v>out-of-stateFY27-28</v>
      </c>
      <c r="B30" s="58" t="s">
        <v>162</v>
      </c>
      <c r="C30" s="58" t="s">
        <v>87</v>
      </c>
      <c r="D30" s="62">
        <f>ROUND(D29*'COS Internal Budget'!$C$20,0)</f>
        <v>9411</v>
      </c>
    </row>
    <row r="31" spans="1:4" x14ac:dyDescent="0.35">
      <c r="A31" s="58" t="str">
        <f t="shared" si="0"/>
        <v>out-of-stateFY28-29</v>
      </c>
      <c r="B31" s="58" t="s">
        <v>178</v>
      </c>
      <c r="C31" s="58" t="s">
        <v>87</v>
      </c>
      <c r="D31" s="62">
        <f>ROUND(D30*'COS Internal Budget'!$C$20,0)</f>
        <v>10352</v>
      </c>
    </row>
    <row r="32" spans="1:4" x14ac:dyDescent="0.35">
      <c r="A32" s="58" t="str">
        <f t="shared" si="0"/>
        <v>out-of-stateFY29-30</v>
      </c>
      <c r="B32" s="58" t="s">
        <v>186</v>
      </c>
      <c r="C32" s="58" t="s">
        <v>87</v>
      </c>
      <c r="D32" s="62">
        <f>ROUND(D31*'COS Internal Budget'!$C$20,0)</f>
        <v>11387</v>
      </c>
    </row>
    <row r="33" spans="1:4" x14ac:dyDescent="0.35">
      <c r="A33" s="58" t="str">
        <f t="shared" si="0"/>
        <v>out-of-stateFY30-31</v>
      </c>
      <c r="B33" s="58" t="s">
        <v>187</v>
      </c>
      <c r="C33" s="58" t="s">
        <v>87</v>
      </c>
      <c r="D33" s="62">
        <f>ROUND(D32*'COS Internal Budget'!$C$20,0)</f>
        <v>12526</v>
      </c>
    </row>
    <row r="34" spans="1:4" x14ac:dyDescent="0.35">
      <c r="A34" s="58" t="str">
        <f t="shared" si="0"/>
        <v>out-of-stateFY31-32</v>
      </c>
      <c r="B34" s="58" t="s">
        <v>188</v>
      </c>
      <c r="C34" s="58" t="s">
        <v>87</v>
      </c>
      <c r="D34" s="62">
        <f>ROUND(D33*'COS Internal Budget'!$C$20,0)</f>
        <v>13779</v>
      </c>
    </row>
    <row r="35" spans="1:4" x14ac:dyDescent="0.35">
      <c r="A35" s="58" t="str">
        <f t="shared" si="0"/>
        <v>out-of-stateFY32-33</v>
      </c>
      <c r="B35" s="58" t="s">
        <v>189</v>
      </c>
      <c r="C35" s="58" t="s">
        <v>87</v>
      </c>
      <c r="D35" s="62">
        <f>ROUND(D34*'COS Internal Budget'!$C$20,0)</f>
        <v>15157</v>
      </c>
    </row>
    <row r="36" spans="1:4" x14ac:dyDescent="0.35">
      <c r="A36" s="58" t="str">
        <f t="shared" si="0"/>
        <v>out-of-stateFY33-34</v>
      </c>
      <c r="B36" s="58" t="s">
        <v>254</v>
      </c>
      <c r="C36" s="58" t="s">
        <v>87</v>
      </c>
      <c r="D36" s="62">
        <f>ROUND(D35*'COS Internal Budget'!$C$20,0)</f>
        <v>16673</v>
      </c>
    </row>
    <row r="37" spans="1:4" x14ac:dyDescent="0.35">
      <c r="A37" s="58" t="str">
        <f t="shared" si="0"/>
        <v>out-of-stateFY34-35</v>
      </c>
      <c r="B37" s="58" t="s">
        <v>255</v>
      </c>
      <c r="C37" s="58" t="s">
        <v>87</v>
      </c>
      <c r="D37" s="62">
        <f>ROUND(D36*'COS Internal Budget'!$C$20,0)</f>
        <v>18340</v>
      </c>
    </row>
    <row r="38" spans="1:4" x14ac:dyDescent="0.35">
      <c r="A38" s="58" t="str">
        <f t="shared" si="0"/>
        <v>out-of-stateFY35-36</v>
      </c>
      <c r="B38" s="58" t="s">
        <v>256</v>
      </c>
      <c r="C38" s="58" t="s">
        <v>87</v>
      </c>
      <c r="D38" s="62">
        <f>ROUND(D37*'COS Internal Budget'!$C$20,0)</f>
        <v>20174</v>
      </c>
    </row>
    <row r="39" spans="1:4" x14ac:dyDescent="0.35">
      <c r="A39" s="58" t="str">
        <f t="shared" si="0"/>
        <v>out-of-stateFY36-37</v>
      </c>
      <c r="B39" s="58" t="s">
        <v>257</v>
      </c>
      <c r="C39" s="58" t="s">
        <v>87</v>
      </c>
      <c r="D39" s="62">
        <f>ROUND(D38*'COS Internal Budget'!$C$20,0)</f>
        <v>22191</v>
      </c>
    </row>
    <row r="40" spans="1:4" x14ac:dyDescent="0.35">
      <c r="A40" s="58" t="str">
        <f t="shared" si="0"/>
        <v>out-of-stateFY37-38</v>
      </c>
      <c r="B40" s="58" t="s">
        <v>258</v>
      </c>
      <c r="C40" s="58" t="s">
        <v>87</v>
      </c>
      <c r="D40" s="62">
        <f>ROUND(D39*'COS Internal Budget'!$C$20,0)</f>
        <v>24410</v>
      </c>
    </row>
    <row r="41" spans="1:4" x14ac:dyDescent="0.35">
      <c r="A41" s="58" t="str">
        <f t="shared" si="0"/>
        <v>out-of-stateFY38-39</v>
      </c>
      <c r="B41" s="58" t="s">
        <v>259</v>
      </c>
      <c r="C41" s="58" t="s">
        <v>87</v>
      </c>
      <c r="D41" s="62">
        <f>ROUND(D40*'COS Internal Budget'!$C$20,0)</f>
        <v>26851</v>
      </c>
    </row>
    <row r="42" spans="1:4" x14ac:dyDescent="0.35">
      <c r="A42" s="58" t="str">
        <f t="shared" si="0"/>
        <v>out-of-stateFY39-40</v>
      </c>
      <c r="B42" s="58" t="s">
        <v>260</v>
      </c>
      <c r="C42" s="58" t="s">
        <v>87</v>
      </c>
      <c r="D42" s="62">
        <f>ROUND(D41*'COS Internal Budget'!$C$20,0)</f>
        <v>29536</v>
      </c>
    </row>
    <row r="43" spans="1:4" x14ac:dyDescent="0.35">
      <c r="A43" s="58" t="str">
        <f t="shared" si="0"/>
        <v/>
      </c>
    </row>
    <row r="44" spans="1:4" x14ac:dyDescent="0.35">
      <c r="A44" s="258" t="str">
        <f t="shared" si="0"/>
        <v>In-st+feesFY23-24</v>
      </c>
      <c r="B44" s="258" t="s">
        <v>158</v>
      </c>
      <c r="C44" s="258" t="s">
        <v>267</v>
      </c>
      <c r="D44" s="260">
        <f>ROUND((4729.5+1291.13), 0)</f>
        <v>6021</v>
      </c>
    </row>
    <row r="45" spans="1:4" x14ac:dyDescent="0.35">
      <c r="A45" s="258" t="str">
        <f t="shared" si="0"/>
        <v>In-st+feesFY24-25</v>
      </c>
      <c r="B45" s="258" t="s">
        <v>159</v>
      </c>
      <c r="C45" s="258" t="s">
        <v>267</v>
      </c>
      <c r="D45" s="260">
        <f>ROUND((4918.5+1231.25), 0)</f>
        <v>6150</v>
      </c>
    </row>
    <row r="46" spans="1:4" x14ac:dyDescent="0.35">
      <c r="A46" s="258" t="str">
        <f t="shared" si="0"/>
        <v>In-st+feesFY25-26</v>
      </c>
      <c r="B46" s="258" t="s">
        <v>160</v>
      </c>
      <c r="C46" s="258" t="s">
        <v>267</v>
      </c>
      <c r="D46" s="260">
        <f>ROUND((5115+1252.25), 0)</f>
        <v>6367</v>
      </c>
    </row>
    <row r="47" spans="1:4" x14ac:dyDescent="0.35">
      <c r="A47" s="58" t="str">
        <f t="shared" si="0"/>
        <v>In-st+feesFY26-27</v>
      </c>
      <c r="B47" s="58" t="s">
        <v>161</v>
      </c>
      <c r="C47" s="58" t="s">
        <v>267</v>
      </c>
      <c r="D47" s="62">
        <f>ROUND(D46*'COS Internal Budget'!$C$20,0)</f>
        <v>7004</v>
      </c>
    </row>
    <row r="48" spans="1:4" x14ac:dyDescent="0.35">
      <c r="A48" s="58" t="str">
        <f t="shared" si="0"/>
        <v>In-st+feesFY27-28</v>
      </c>
      <c r="B48" s="58" t="s">
        <v>162</v>
      </c>
      <c r="C48" s="58" t="s">
        <v>267</v>
      </c>
      <c r="D48" s="62">
        <f>ROUND(D47*'COS Internal Budget'!$C$20,0)</f>
        <v>7704</v>
      </c>
    </row>
    <row r="49" spans="1:4" x14ac:dyDescent="0.35">
      <c r="A49" s="58" t="str">
        <f t="shared" si="0"/>
        <v>In-st+feesFY28-29</v>
      </c>
      <c r="B49" s="58" t="s">
        <v>178</v>
      </c>
      <c r="C49" s="58" t="s">
        <v>267</v>
      </c>
      <c r="D49" s="62">
        <f>ROUND(D48*'COS Internal Budget'!$C$20,0)</f>
        <v>8474</v>
      </c>
    </row>
    <row r="50" spans="1:4" x14ac:dyDescent="0.35">
      <c r="A50" s="58" t="str">
        <f t="shared" si="0"/>
        <v>In-st+feesFY29-30</v>
      </c>
      <c r="B50" s="58" t="s">
        <v>186</v>
      </c>
      <c r="C50" s="58" t="s">
        <v>267</v>
      </c>
      <c r="D50" s="62">
        <f>ROUND(D49*'COS Internal Budget'!$C$20,0)</f>
        <v>9321</v>
      </c>
    </row>
    <row r="51" spans="1:4" x14ac:dyDescent="0.35">
      <c r="A51" s="58" t="str">
        <f t="shared" si="0"/>
        <v>In-st+feesFY30-31</v>
      </c>
      <c r="B51" s="58" t="s">
        <v>187</v>
      </c>
      <c r="C51" s="58" t="s">
        <v>267</v>
      </c>
      <c r="D51" s="62">
        <f>ROUND(D50*'COS Internal Budget'!$C$20,0)</f>
        <v>10253</v>
      </c>
    </row>
    <row r="52" spans="1:4" x14ac:dyDescent="0.35">
      <c r="A52" s="58" t="str">
        <f t="shared" si="0"/>
        <v>In-st+feesFY31-32</v>
      </c>
      <c r="B52" s="58" t="s">
        <v>188</v>
      </c>
      <c r="C52" s="58" t="s">
        <v>267</v>
      </c>
      <c r="D52" s="62">
        <f>ROUND(D51*'COS Internal Budget'!$C$20,0)</f>
        <v>11278</v>
      </c>
    </row>
    <row r="53" spans="1:4" x14ac:dyDescent="0.35">
      <c r="A53" s="58" t="str">
        <f t="shared" si="0"/>
        <v>In-st+feesFY32-33</v>
      </c>
      <c r="B53" s="58" t="s">
        <v>189</v>
      </c>
      <c r="C53" s="58" t="s">
        <v>267</v>
      </c>
      <c r="D53" s="62">
        <f>ROUND(D52*'COS Internal Budget'!$C$20,0)</f>
        <v>12406</v>
      </c>
    </row>
    <row r="54" spans="1:4" x14ac:dyDescent="0.35">
      <c r="A54" s="58" t="str">
        <f t="shared" si="0"/>
        <v>In-st+feesFY33-34</v>
      </c>
      <c r="B54" s="58" t="s">
        <v>254</v>
      </c>
      <c r="C54" s="58" t="s">
        <v>267</v>
      </c>
      <c r="D54" s="62">
        <f>ROUND(D53*'COS Internal Budget'!$C$20,0)</f>
        <v>13647</v>
      </c>
    </row>
    <row r="55" spans="1:4" x14ac:dyDescent="0.35">
      <c r="A55" s="58" t="str">
        <f t="shared" si="0"/>
        <v>In-st+feesFY34-35</v>
      </c>
      <c r="B55" s="58" t="s">
        <v>255</v>
      </c>
      <c r="C55" s="58" t="s">
        <v>267</v>
      </c>
      <c r="D55" s="62">
        <f>ROUND(D54*'COS Internal Budget'!$C$20,0)</f>
        <v>15012</v>
      </c>
    </row>
    <row r="56" spans="1:4" x14ac:dyDescent="0.35">
      <c r="A56" s="58" t="str">
        <f t="shared" si="0"/>
        <v>In-st+feesFY35-36</v>
      </c>
      <c r="B56" s="58" t="s">
        <v>256</v>
      </c>
      <c r="C56" s="58" t="s">
        <v>267</v>
      </c>
      <c r="D56" s="62">
        <f>ROUND(D55*'COS Internal Budget'!$C$20,0)</f>
        <v>16513</v>
      </c>
    </row>
    <row r="57" spans="1:4" x14ac:dyDescent="0.35">
      <c r="A57" s="58" t="str">
        <f t="shared" si="0"/>
        <v>In-st+feesFY36-37</v>
      </c>
      <c r="B57" s="58" t="s">
        <v>257</v>
      </c>
      <c r="C57" s="58" t="s">
        <v>267</v>
      </c>
      <c r="D57" s="62">
        <f>ROUND(D56*'COS Internal Budget'!$C$20,0)</f>
        <v>18164</v>
      </c>
    </row>
    <row r="58" spans="1:4" x14ac:dyDescent="0.35">
      <c r="A58" s="58" t="str">
        <f t="shared" si="0"/>
        <v>In-st+feesFY37-38</v>
      </c>
      <c r="B58" s="58" t="s">
        <v>258</v>
      </c>
      <c r="C58" s="58" t="s">
        <v>267</v>
      </c>
      <c r="D58" s="62">
        <f>ROUND(D57*'COS Internal Budget'!$C$20,0)</f>
        <v>19980</v>
      </c>
    </row>
    <row r="59" spans="1:4" x14ac:dyDescent="0.35">
      <c r="A59" s="58" t="str">
        <f t="shared" si="0"/>
        <v>In-st+feesFY38-39</v>
      </c>
      <c r="B59" s="58" t="s">
        <v>259</v>
      </c>
      <c r="C59" s="58" t="s">
        <v>267</v>
      </c>
      <c r="D59" s="62">
        <f>ROUND(D58*'COS Internal Budget'!$C$20,0)</f>
        <v>21978</v>
      </c>
    </row>
    <row r="60" spans="1:4" x14ac:dyDescent="0.35">
      <c r="A60" s="58" t="str">
        <f t="shared" si="0"/>
        <v>In-st+feesFY39-40</v>
      </c>
      <c r="B60" s="58" t="s">
        <v>260</v>
      </c>
      <c r="C60" s="58" t="s">
        <v>267</v>
      </c>
      <c r="D60" s="62">
        <f>ROUND(D59*'COS Internal Budget'!$C$20,0)</f>
        <v>24176</v>
      </c>
    </row>
    <row r="61" spans="1:4" x14ac:dyDescent="0.35">
      <c r="A61" s="58" t="str">
        <f t="shared" si="0"/>
        <v/>
      </c>
    </row>
    <row r="62" spans="1:4" x14ac:dyDescent="0.35">
      <c r="A62" s="258" t="str">
        <f t="shared" si="0"/>
        <v>oost+feesFY23-24</v>
      </c>
      <c r="B62" s="258" t="s">
        <v>158</v>
      </c>
      <c r="C62" s="258" t="s">
        <v>170</v>
      </c>
      <c r="D62" s="260">
        <f>ROUND((4729.5+2496.75+1291.13), 0)</f>
        <v>8517</v>
      </c>
    </row>
    <row r="63" spans="1:4" x14ac:dyDescent="0.35">
      <c r="A63" s="258" t="str">
        <f t="shared" si="0"/>
        <v>oost+feesFY24-25</v>
      </c>
      <c r="B63" s="258" t="s">
        <v>159</v>
      </c>
      <c r="C63" s="258" t="s">
        <v>170</v>
      </c>
      <c r="D63" s="260">
        <f>ROUND((4918.5+2596.625+1231.25), 0)</f>
        <v>8746</v>
      </c>
    </row>
    <row r="64" spans="1:4" x14ac:dyDescent="0.35">
      <c r="A64" s="258" t="str">
        <f t="shared" si="0"/>
        <v>oost+feesFY25-26</v>
      </c>
      <c r="B64" s="258" t="s">
        <v>160</v>
      </c>
      <c r="C64" s="258" t="s">
        <v>170</v>
      </c>
      <c r="D64" s="260">
        <f>ROUND((5115+2662.25+1252.25), 0)</f>
        <v>9030</v>
      </c>
    </row>
    <row r="65" spans="1:4" x14ac:dyDescent="0.35">
      <c r="A65" s="58" t="str">
        <f t="shared" si="0"/>
        <v>oost+feesFY26-27</v>
      </c>
      <c r="B65" s="58" t="s">
        <v>161</v>
      </c>
      <c r="C65" s="58" t="s">
        <v>170</v>
      </c>
      <c r="D65" s="62">
        <f>ROUND(D64*'COS Internal Budget'!$C$20,0)</f>
        <v>9933</v>
      </c>
    </row>
    <row r="66" spans="1:4" x14ac:dyDescent="0.35">
      <c r="A66" s="58" t="str">
        <f t="shared" si="0"/>
        <v>oost+feesFY27-28</v>
      </c>
      <c r="B66" s="58" t="s">
        <v>162</v>
      </c>
      <c r="C66" s="58" t="s">
        <v>170</v>
      </c>
      <c r="D66" s="62">
        <f>ROUND(D65*'COS Internal Budget'!$C$20,0)</f>
        <v>10926</v>
      </c>
    </row>
    <row r="67" spans="1:4" x14ac:dyDescent="0.35">
      <c r="A67" s="58" t="str">
        <f t="shared" si="0"/>
        <v>oost+feesFY28-29</v>
      </c>
      <c r="B67" s="58" t="s">
        <v>178</v>
      </c>
      <c r="C67" s="58" t="s">
        <v>170</v>
      </c>
      <c r="D67" s="62">
        <f>ROUND(D66*'COS Internal Budget'!$C$20,0)</f>
        <v>12019</v>
      </c>
    </row>
    <row r="68" spans="1:4" x14ac:dyDescent="0.35">
      <c r="A68" s="58" t="str">
        <f t="shared" si="0"/>
        <v>oost+feesFY29-30</v>
      </c>
      <c r="B68" s="58" t="s">
        <v>186</v>
      </c>
      <c r="C68" s="58" t="s">
        <v>170</v>
      </c>
      <c r="D68" s="62">
        <f>ROUND(D67*'COS Internal Budget'!$C$20,0)</f>
        <v>13221</v>
      </c>
    </row>
    <row r="69" spans="1:4" x14ac:dyDescent="0.35">
      <c r="A69" s="58" t="str">
        <f t="shared" si="0"/>
        <v>oost+feesFY30-31</v>
      </c>
      <c r="B69" s="58" t="s">
        <v>187</v>
      </c>
      <c r="C69" s="58" t="s">
        <v>170</v>
      </c>
      <c r="D69" s="62">
        <f>ROUND(D68*'COS Internal Budget'!$C$20,0)</f>
        <v>14543</v>
      </c>
    </row>
    <row r="70" spans="1:4" x14ac:dyDescent="0.35">
      <c r="A70" s="58" t="str">
        <f t="shared" si="0"/>
        <v>oost+feesFY31-32</v>
      </c>
      <c r="B70" s="58" t="s">
        <v>188</v>
      </c>
      <c r="C70" s="58" t="s">
        <v>170</v>
      </c>
      <c r="D70" s="62">
        <f>ROUND(D69*'COS Internal Budget'!$C$20,0)</f>
        <v>15997</v>
      </c>
    </row>
    <row r="71" spans="1:4" x14ac:dyDescent="0.35">
      <c r="A71" s="58" t="str">
        <f t="shared" si="0"/>
        <v>oost+feesFY32-33</v>
      </c>
      <c r="B71" s="58" t="s">
        <v>189</v>
      </c>
      <c r="C71" s="58" t="s">
        <v>170</v>
      </c>
      <c r="D71" s="62">
        <f>ROUND(D70*'COS Internal Budget'!$C$20,0)</f>
        <v>17597</v>
      </c>
    </row>
    <row r="72" spans="1:4" x14ac:dyDescent="0.35">
      <c r="A72" s="58" t="str">
        <f t="shared" si="0"/>
        <v>oost+feesFY33-34</v>
      </c>
      <c r="B72" s="58" t="s">
        <v>254</v>
      </c>
      <c r="C72" s="58" t="s">
        <v>170</v>
      </c>
      <c r="D72" s="62">
        <f>ROUND(D71*'COS Internal Budget'!$C$20,0)</f>
        <v>19357</v>
      </c>
    </row>
    <row r="73" spans="1:4" x14ac:dyDescent="0.35">
      <c r="A73" s="58" t="str">
        <f t="shared" ref="A73:A78" si="1">C73&amp;B73</f>
        <v>oost+feesFY34-35</v>
      </c>
      <c r="B73" s="58" t="s">
        <v>255</v>
      </c>
      <c r="C73" s="58" t="s">
        <v>170</v>
      </c>
      <c r="D73" s="62">
        <f>ROUND(D72*'COS Internal Budget'!$C$20,0)</f>
        <v>21293</v>
      </c>
    </row>
    <row r="74" spans="1:4" x14ac:dyDescent="0.35">
      <c r="A74" s="58" t="str">
        <f t="shared" si="1"/>
        <v>oost+feesFY35-36</v>
      </c>
      <c r="B74" s="58" t="s">
        <v>256</v>
      </c>
      <c r="C74" s="58" t="s">
        <v>170</v>
      </c>
      <c r="D74" s="62">
        <f>ROUND(D73*'COS Internal Budget'!$C$20,0)</f>
        <v>23422</v>
      </c>
    </row>
    <row r="75" spans="1:4" x14ac:dyDescent="0.35">
      <c r="A75" s="58" t="str">
        <f t="shared" si="1"/>
        <v>oost+feesFY36-37</v>
      </c>
      <c r="B75" s="58" t="s">
        <v>257</v>
      </c>
      <c r="C75" s="58" t="s">
        <v>170</v>
      </c>
      <c r="D75" s="62">
        <f>ROUND(D74*'COS Internal Budget'!$C$20,0)</f>
        <v>25764</v>
      </c>
    </row>
    <row r="76" spans="1:4" x14ac:dyDescent="0.35">
      <c r="A76" s="58" t="str">
        <f t="shared" si="1"/>
        <v>oost+feesFY37-38</v>
      </c>
      <c r="B76" s="58" t="s">
        <v>258</v>
      </c>
      <c r="C76" s="58" t="s">
        <v>170</v>
      </c>
      <c r="D76" s="62">
        <f>ROUND(D75*'COS Internal Budget'!$C$20,0)</f>
        <v>28340</v>
      </c>
    </row>
    <row r="77" spans="1:4" x14ac:dyDescent="0.35">
      <c r="A77" s="58" t="str">
        <f t="shared" si="1"/>
        <v>oost+feesFY38-39</v>
      </c>
      <c r="B77" s="58" t="s">
        <v>259</v>
      </c>
      <c r="C77" s="58" t="s">
        <v>170</v>
      </c>
      <c r="D77" s="62">
        <f>ROUND(D76*'COS Internal Budget'!$C$20,0)</f>
        <v>31174</v>
      </c>
    </row>
    <row r="78" spans="1:4" x14ac:dyDescent="0.35">
      <c r="A78" s="58" t="str">
        <f t="shared" si="1"/>
        <v>oost+feesFY39-40</v>
      </c>
      <c r="B78" s="58" t="s">
        <v>260</v>
      </c>
      <c r="C78" s="58" t="s">
        <v>170</v>
      </c>
      <c r="D78" s="62">
        <f>ROUND(D77*'COS Internal Budget'!$C$20,0)</f>
        <v>34291</v>
      </c>
    </row>
  </sheetData>
  <hyperlinks>
    <hyperlink ref="F1" r:id="rId1" xr:uid="{6ED3B19F-8EB2-477F-A2B2-FC36845A558A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WRS Budget and Segments</vt:lpstr>
      <vt:lpstr>COS Internal Budget</vt:lpstr>
      <vt:lpstr>Non-Payroll Budget Planner</vt:lpstr>
      <vt:lpstr>lists</vt:lpstr>
      <vt:lpstr>Finge and HI</vt:lpstr>
      <vt:lpstr>Tuition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raloycan</dc:creator>
  <cp:lastModifiedBy>Connor Dorsch</cp:lastModifiedBy>
  <cp:lastPrinted>2024-06-10T15:18:14Z</cp:lastPrinted>
  <dcterms:created xsi:type="dcterms:W3CDTF">2006-05-24T14:02:46Z</dcterms:created>
  <dcterms:modified xsi:type="dcterms:W3CDTF">2025-06-11T14:46:08Z</dcterms:modified>
</cp:coreProperties>
</file>